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9040" windowHeight="15720"/>
  </bookViews>
  <sheets>
    <sheet name="dem12" sheetId="1" r:id="rId1"/>
    <sheet name="Sheet1" sheetId="2" r:id="rId2"/>
  </sheets>
  <definedNames>
    <definedName name="_xlnm._FilterDatabase" localSheetId="0" hidden="1">'dem12'!$A$20:$G$691</definedName>
    <definedName name="_rec2" localSheetId="0">'dem12'!#REF!</definedName>
    <definedName name="_Regression_Int" localSheetId="0" hidden="1">1</definedName>
    <definedName name="ecolorec" localSheetId="0">'dem12'!#REF!</definedName>
    <definedName name="EcoRecCap" localSheetId="0">'dem12'!#REF!</definedName>
    <definedName name="ecoRecRev" localSheetId="0">'dem12'!#REF!</definedName>
    <definedName name="ee" localSheetId="0">'dem12'!$D$626:$G$626</definedName>
    <definedName name="fwl" localSheetId="0">'dem12'!$D$578:$G$578</definedName>
    <definedName name="fwlcap" localSheetId="0">'dem12'!$D$677:$G$677</definedName>
    <definedName name="fwlrec" localSheetId="0">'dem12'!#REF!</definedName>
    <definedName name="fwlrec1" localSheetId="0">'dem12'!#REF!</definedName>
    <definedName name="np" localSheetId="0">'dem12'!#REF!</definedName>
    <definedName name="Nutrition" localSheetId="0">#REF!</definedName>
    <definedName name="oas" localSheetId="0">'dem12'!#REF!</definedName>
    <definedName name="otd" localSheetId="0">'dem12'!#REF!</definedName>
    <definedName name="otdrec" localSheetId="0">'dem12'!#REF!</definedName>
    <definedName name="_xlnm.Print_Area" localSheetId="0">'dem12'!$A$1:$G$685</definedName>
    <definedName name="_xlnm.Print_Titles" localSheetId="0">'dem12'!$17:$20</definedName>
    <definedName name="revise" localSheetId="0">'dem12'!$D$709:$F$709</definedName>
    <definedName name="scst" localSheetId="0">#REF!</definedName>
    <definedName name="SocialSecurity" localSheetId="0">#REF!</definedName>
    <definedName name="socialwelfare" localSheetId="0">#REF!</definedName>
    <definedName name="spfrd" localSheetId="0">'dem12'!#REF!</definedName>
    <definedName name="summary" localSheetId="0">'dem12'!$D$698:$F$698</definedName>
    <definedName name="swc" localSheetId="0">'dem12'!$D$122:$G$122</definedName>
    <definedName name="voted" localSheetId="0">'dem12'!$C$14:$F$14</definedName>
    <definedName name="welfarecap" localSheetId="0">#REF!</definedName>
    <definedName name="Z_239EE218_578E_4317_BEED_14D5D7089E27_.wvu.Cols" localSheetId="0" hidden="1">'dem12'!#REF!</definedName>
    <definedName name="Z_239EE218_578E_4317_BEED_14D5D7089E27_.wvu.FilterData" localSheetId="0" hidden="1">'dem12'!$A$2:$G$691</definedName>
    <definedName name="Z_239EE218_578E_4317_BEED_14D5D7089E27_.wvu.PrintArea" localSheetId="0" hidden="1">'dem12'!$A$2:$G$691</definedName>
    <definedName name="Z_239EE218_578E_4317_BEED_14D5D7089E27_.wvu.PrintTitles" localSheetId="0" hidden="1">'dem12'!$17:$20</definedName>
    <definedName name="Z_302A3EA3_AE96_11D5_A646_0050BA3D7AFD_.wvu.Cols" localSheetId="0" hidden="1">'dem12'!#REF!</definedName>
    <definedName name="Z_302A3EA3_AE96_11D5_A646_0050BA3D7AFD_.wvu.FilterData" localSheetId="0" hidden="1">'dem12'!$A$2:$G$691</definedName>
    <definedName name="Z_302A3EA3_AE96_11D5_A646_0050BA3D7AFD_.wvu.PrintArea" localSheetId="0" hidden="1">'dem12'!$A$2:$G$691</definedName>
    <definedName name="Z_302A3EA3_AE96_11D5_A646_0050BA3D7AFD_.wvu.PrintTitles" localSheetId="0" hidden="1">'dem12'!$17:$20</definedName>
    <definedName name="Z_36DBA021_0ECB_11D4_8064_004005726899_.wvu.Cols" localSheetId="0" hidden="1">'dem12'!#REF!</definedName>
    <definedName name="Z_36DBA021_0ECB_11D4_8064_004005726899_.wvu.FilterData" localSheetId="0" hidden="1">'dem12'!$C$21:$C$691</definedName>
    <definedName name="Z_36DBA021_0ECB_11D4_8064_004005726899_.wvu.PrintArea" localSheetId="0" hidden="1">'dem12'!$A$2:$G$691</definedName>
    <definedName name="Z_36DBA021_0ECB_11D4_8064_004005726899_.wvu.PrintTitles" localSheetId="0" hidden="1">'dem12'!$17:$20</definedName>
    <definedName name="Z_500B8DB8_F286_4AC6_8FFB_9BFEC967AB3A_.wvu.FilterData" localSheetId="0" hidden="1">'dem12'!$A$21:$G$729</definedName>
    <definedName name="Z_500B8DB8_F286_4AC6_8FFB_9BFEC967AB3A_.wvu.PrintArea" localSheetId="0" hidden="1">'dem12'!$A$2:$G$691</definedName>
    <definedName name="Z_500B8DB8_F286_4AC6_8FFB_9BFEC967AB3A_.wvu.PrintTitles" localSheetId="0" hidden="1">'dem12'!$17:$20</definedName>
    <definedName name="Z_93EBE921_AE91_11D5_8685_004005726899_.wvu.Cols" localSheetId="0" hidden="1">'dem12'!#REF!</definedName>
    <definedName name="Z_93EBE921_AE91_11D5_8685_004005726899_.wvu.FilterData" localSheetId="0" hidden="1">'dem12'!$C$21:$C$691</definedName>
    <definedName name="Z_93EBE921_AE91_11D5_8685_004005726899_.wvu.PrintArea" localSheetId="0" hidden="1">'dem12'!$A$2:$G$691</definedName>
    <definedName name="Z_93EBE921_AE91_11D5_8685_004005726899_.wvu.PrintTitles" localSheetId="0" hidden="1">'dem12'!$17:$20</definedName>
    <definedName name="Z_94DA79C1_0FDE_11D5_9579_000021DAEEA2_.wvu.Cols" localSheetId="0" hidden="1">'dem12'!#REF!</definedName>
    <definedName name="Z_94DA79C1_0FDE_11D5_9579_000021DAEEA2_.wvu.FilterData" localSheetId="0" hidden="1">'dem12'!$C$21:$C$691</definedName>
    <definedName name="Z_94DA79C1_0FDE_11D5_9579_000021DAEEA2_.wvu.PrintArea" localSheetId="0" hidden="1">'dem12'!$A$2:$G$691</definedName>
    <definedName name="Z_94DA79C1_0FDE_11D5_9579_000021DAEEA2_.wvu.PrintTitles" localSheetId="0" hidden="1">'dem12'!$17:$20</definedName>
    <definedName name="Z_B4CB098E_161F_11D5_8064_004005726899_.wvu.FilterData" localSheetId="0" hidden="1">'dem12'!$C$21:$C$691</definedName>
    <definedName name="Z_B4CB0999_161F_11D5_8064_004005726899_.wvu.FilterData" localSheetId="0" hidden="1">'dem12'!$C$21:$C$691</definedName>
    <definedName name="Z_C868F8C3_16D7_11D5_A68D_81D6213F5331_.wvu.Cols" localSheetId="0" hidden="1">'dem12'!#REF!</definedName>
    <definedName name="Z_C868F8C3_16D7_11D5_A68D_81D6213F5331_.wvu.FilterData" localSheetId="0" hidden="1">'dem12'!$C$21:$C$691</definedName>
    <definedName name="Z_C868F8C3_16D7_11D5_A68D_81D6213F5331_.wvu.PrintArea" localSheetId="0" hidden="1">'dem12'!$A$2:$G$691</definedName>
    <definedName name="Z_C868F8C3_16D7_11D5_A68D_81D6213F5331_.wvu.PrintTitles" localSheetId="0" hidden="1">'dem12'!$17:$20</definedName>
    <definedName name="Z_E5DF37BD_125C_11D5_8DC4_D0F5D88B3549_.wvu.Cols" localSheetId="0" hidden="1">'dem12'!#REF!</definedName>
    <definedName name="Z_E5DF37BD_125C_11D5_8DC4_D0F5D88B3549_.wvu.FilterData" localSheetId="0" hidden="1">'dem12'!$C$21:$C$691</definedName>
    <definedName name="Z_E5DF37BD_125C_11D5_8DC4_D0F5D88B3549_.wvu.PrintArea" localSheetId="0" hidden="1">'dem12'!$A$2:$G$691</definedName>
    <definedName name="Z_E5DF37BD_125C_11D5_8DC4_D0F5D88B3549_.wvu.PrintTitles" localSheetId="0" hidden="1">'dem12'!$17:$20</definedName>
    <definedName name="Z_F8ADACC1_164E_11D6_B603_000021DAEEA2_.wvu.Cols" localSheetId="0" hidden="1">'dem12'!#REF!</definedName>
    <definedName name="Z_F8ADACC1_164E_11D6_B603_000021DAEEA2_.wvu.FilterData" localSheetId="0" hidden="1">'dem12'!$C$21:$C$691</definedName>
    <definedName name="Z_F8ADACC1_164E_11D6_B603_000021DAEEA2_.wvu.PrintArea" localSheetId="0" hidden="1">'dem12'!$A$2:$G$691</definedName>
    <definedName name="Z_F8ADACC1_164E_11D6_B603_000021DAEEA2_.wvu.PrintTitles" localSheetId="0" hidden="1">'dem12'!$17:$20</definedName>
  </definedNames>
  <calcPr calcId="124519"/>
  <customWorkbookViews>
    <customWorkbookView name="S.D.Pradhan - Personal View" guid="{500B8DB8-F286-4AC6-8FFB-9BFEC967AB3A}" mergeInterval="0" personalView="1" maximized="1" windowWidth="796" windowHeight="42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5" i="1"/>
  <c r="E646" s="1"/>
  <c r="D645"/>
  <c r="D646" s="1"/>
  <c r="F674" l="1"/>
  <c r="E674"/>
  <c r="D674"/>
  <c r="E655"/>
  <c r="E656" s="1"/>
  <c r="E657" s="1"/>
  <c r="F655"/>
  <c r="F656" s="1"/>
  <c r="F657" s="1"/>
  <c r="D655"/>
  <c r="D656" s="1"/>
  <c r="D657" s="1"/>
  <c r="E210"/>
  <c r="F210"/>
  <c r="D210"/>
  <c r="E636"/>
  <c r="E637" s="1"/>
  <c r="E638" s="1"/>
  <c r="F636"/>
  <c r="F637" s="1"/>
  <c r="F638" s="1"/>
  <c r="D636"/>
  <c r="D637" s="1"/>
  <c r="D638" s="1"/>
  <c r="F521"/>
  <c r="E521"/>
  <c r="D521"/>
  <c r="E556"/>
  <c r="D556"/>
  <c r="F483" l="1"/>
  <c r="F479"/>
  <c r="F379"/>
  <c r="F255"/>
  <c r="F112"/>
  <c r="F98"/>
  <c r="F643"/>
  <c r="F596"/>
  <c r="F573"/>
  <c r="F572"/>
  <c r="F571"/>
  <c r="F608"/>
  <c r="F584"/>
  <c r="F540"/>
  <c r="F526"/>
  <c r="F464"/>
  <c r="F441"/>
  <c r="F432"/>
  <c r="F423"/>
  <c r="F414"/>
  <c r="F405"/>
  <c r="F385"/>
  <c r="F351"/>
  <c r="F298"/>
  <c r="F288"/>
  <c r="F246"/>
  <c r="F235"/>
  <c r="F226"/>
  <c r="F215"/>
  <c r="F188"/>
  <c r="F168"/>
  <c r="F158"/>
  <c r="F148"/>
  <c r="F138"/>
  <c r="F128"/>
  <c r="F65"/>
  <c r="F57"/>
  <c r="F41"/>
  <c r="F32"/>
  <c r="D188"/>
  <c r="D235"/>
  <c r="E670"/>
  <c r="F670"/>
  <c r="D670"/>
  <c r="E666"/>
  <c r="F666"/>
  <c r="D666"/>
  <c r="E662"/>
  <c r="F662"/>
  <c r="D662"/>
  <c r="F645" l="1"/>
  <c r="F646" s="1"/>
  <c r="D675"/>
  <c r="D676" s="1"/>
  <c r="E675"/>
  <c r="E676" s="1"/>
  <c r="F675"/>
  <c r="F676" s="1"/>
  <c r="F644"/>
  <c r="E557" l="1"/>
  <c r="D557"/>
  <c r="F554"/>
  <c r="F556" l="1"/>
  <c r="F557" s="1"/>
  <c r="F541"/>
  <c r="F550" s="1"/>
  <c r="F100"/>
  <c r="E480"/>
  <c r="F94"/>
  <c r="F647"/>
  <c r="F648" s="1"/>
  <c r="F677" s="1"/>
  <c r="E647"/>
  <c r="E648" s="1"/>
  <c r="E677" s="1"/>
  <c r="D647"/>
  <c r="D648" s="1"/>
  <c r="D677" s="1"/>
  <c r="F623"/>
  <c r="F624" s="1"/>
  <c r="F625" s="1"/>
  <c r="E623"/>
  <c r="E624" s="1"/>
  <c r="E625" s="1"/>
  <c r="D623"/>
  <c r="D624" s="1"/>
  <c r="D625" s="1"/>
  <c r="F615"/>
  <c r="F616" s="1"/>
  <c r="E615"/>
  <c r="E616" s="1"/>
  <c r="D615"/>
  <c r="D616" s="1"/>
  <c r="F609"/>
  <c r="F610" s="1"/>
  <c r="E609"/>
  <c r="E610" s="1"/>
  <c r="D609"/>
  <c r="D610" s="1"/>
  <c r="F589"/>
  <c r="F590" s="1"/>
  <c r="E589"/>
  <c r="E590" s="1"/>
  <c r="D589"/>
  <c r="D590" s="1"/>
  <c r="F575"/>
  <c r="F576" s="1"/>
  <c r="F577" s="1"/>
  <c r="E575"/>
  <c r="E576" s="1"/>
  <c r="E577" s="1"/>
  <c r="D575"/>
  <c r="D576" s="1"/>
  <c r="D577" s="1"/>
  <c r="F561"/>
  <c r="E561"/>
  <c r="D561"/>
  <c r="E550"/>
  <c r="D550"/>
  <c r="F535"/>
  <c r="F536" s="1"/>
  <c r="E535"/>
  <c r="E536" s="1"/>
  <c r="D535"/>
  <c r="D536" s="1"/>
  <c r="F516"/>
  <c r="E516"/>
  <c r="D516"/>
  <c r="F512"/>
  <c r="E512"/>
  <c r="D512"/>
  <c r="F506"/>
  <c r="E506"/>
  <c r="D506"/>
  <c r="F499"/>
  <c r="E499"/>
  <c r="D499"/>
  <c r="F494"/>
  <c r="E494"/>
  <c r="D494"/>
  <c r="F489"/>
  <c r="E489"/>
  <c r="D489"/>
  <c r="F480"/>
  <c r="D480"/>
  <c r="F476"/>
  <c r="E476"/>
  <c r="D476"/>
  <c r="F470"/>
  <c r="E470"/>
  <c r="D470"/>
  <c r="F461"/>
  <c r="E461"/>
  <c r="D461"/>
  <c r="F454"/>
  <c r="E454"/>
  <c r="D454"/>
  <c r="F447"/>
  <c r="E447"/>
  <c r="D447"/>
  <c r="F438"/>
  <c r="E438"/>
  <c r="D438"/>
  <c r="F429"/>
  <c r="E429"/>
  <c r="D429"/>
  <c r="F420"/>
  <c r="E420"/>
  <c r="D420"/>
  <c r="F411"/>
  <c r="E411"/>
  <c r="D411"/>
  <c r="F399"/>
  <c r="E399"/>
  <c r="D399"/>
  <c r="F393"/>
  <c r="E393"/>
  <c r="D393"/>
  <c r="F381"/>
  <c r="E381"/>
  <c r="D381"/>
  <c r="F373"/>
  <c r="E373"/>
  <c r="D373"/>
  <c r="F369"/>
  <c r="E369"/>
  <c r="D369"/>
  <c r="F365"/>
  <c r="E365"/>
  <c r="D365"/>
  <c r="F361"/>
  <c r="E361"/>
  <c r="D361"/>
  <c r="F355"/>
  <c r="E355"/>
  <c r="D355"/>
  <c r="F348"/>
  <c r="E348"/>
  <c r="D348"/>
  <c r="F342"/>
  <c r="E342"/>
  <c r="D342"/>
  <c r="F336"/>
  <c r="E336"/>
  <c r="D336"/>
  <c r="F330"/>
  <c r="E330"/>
  <c r="D330"/>
  <c r="F322"/>
  <c r="E322"/>
  <c r="D322"/>
  <c r="F312"/>
  <c r="E312"/>
  <c r="D312"/>
  <c r="F304"/>
  <c r="E304"/>
  <c r="D304"/>
  <c r="F292"/>
  <c r="E292"/>
  <c r="D292"/>
  <c r="F284"/>
  <c r="E284"/>
  <c r="D284"/>
  <c r="F280"/>
  <c r="E280"/>
  <c r="D280"/>
  <c r="F276"/>
  <c r="E276"/>
  <c r="D276"/>
  <c r="F272"/>
  <c r="E272"/>
  <c r="D272"/>
  <c r="F264"/>
  <c r="F265" s="1"/>
  <c r="E264"/>
  <c r="E265" s="1"/>
  <c r="D264"/>
  <c r="D265" s="1"/>
  <c r="F258"/>
  <c r="E258"/>
  <c r="D258"/>
  <c r="F249"/>
  <c r="F250" s="1"/>
  <c r="E249"/>
  <c r="E250" s="1"/>
  <c r="D249"/>
  <c r="D250" s="1"/>
  <c r="F241"/>
  <c r="E241"/>
  <c r="D241"/>
  <c r="F232"/>
  <c r="E232"/>
  <c r="D232"/>
  <c r="F221"/>
  <c r="F222" s="1"/>
  <c r="E221"/>
  <c r="E222" s="1"/>
  <c r="D221"/>
  <c r="D222" s="1"/>
  <c r="F206"/>
  <c r="E206"/>
  <c r="D206"/>
  <c r="F185"/>
  <c r="E185"/>
  <c r="D185"/>
  <c r="F175"/>
  <c r="E175"/>
  <c r="D175"/>
  <c r="F165"/>
  <c r="E165"/>
  <c r="D165"/>
  <c r="F155"/>
  <c r="E155"/>
  <c r="D155"/>
  <c r="F145"/>
  <c r="E145"/>
  <c r="D145"/>
  <c r="F135"/>
  <c r="E135"/>
  <c r="D135"/>
  <c r="F120"/>
  <c r="F121" s="1"/>
  <c r="E120"/>
  <c r="E121" s="1"/>
  <c r="D120"/>
  <c r="D121" s="1"/>
  <c r="F114"/>
  <c r="F115" s="1"/>
  <c r="E114"/>
  <c r="E115" s="1"/>
  <c r="D114"/>
  <c r="D115" s="1"/>
  <c r="F107"/>
  <c r="F108" s="1"/>
  <c r="E107"/>
  <c r="E108" s="1"/>
  <c r="D107"/>
  <c r="D108" s="1"/>
  <c r="E100"/>
  <c r="D100"/>
  <c r="E94"/>
  <c r="D94"/>
  <c r="F90"/>
  <c r="E90"/>
  <c r="D90"/>
  <c r="F82"/>
  <c r="E82"/>
  <c r="D82"/>
  <c r="F76"/>
  <c r="E76"/>
  <c r="D76"/>
  <c r="F70"/>
  <c r="E70"/>
  <c r="D70"/>
  <c r="F62"/>
  <c r="E62"/>
  <c r="D62"/>
  <c r="F54"/>
  <c r="E54"/>
  <c r="D54"/>
  <c r="F46"/>
  <c r="E46"/>
  <c r="D46"/>
  <c r="F38"/>
  <c r="E38"/>
  <c r="D38"/>
  <c r="F25"/>
  <c r="F26" s="1"/>
  <c r="E25"/>
  <c r="E26" s="1"/>
  <c r="D25"/>
  <c r="D26" s="1"/>
  <c r="D211" l="1"/>
  <c r="F211"/>
  <c r="E211"/>
  <c r="E562"/>
  <c r="E356"/>
  <c r="D343"/>
  <c r="D242"/>
  <c r="D95"/>
  <c r="D101" s="1"/>
  <c r="D562"/>
  <c r="F678"/>
  <c r="E678"/>
  <c r="D285"/>
  <c r="D293" s="1"/>
  <c r="D678"/>
  <c r="E242"/>
  <c r="F95"/>
  <c r="F101" s="1"/>
  <c r="F394"/>
  <c r="F356"/>
  <c r="F343"/>
  <c r="F374"/>
  <c r="D356"/>
  <c r="D374"/>
  <c r="D83"/>
  <c r="D84" s="1"/>
  <c r="F562"/>
  <c r="F242"/>
  <c r="E285"/>
  <c r="E293" s="1"/>
  <c r="E343"/>
  <c r="E374"/>
  <c r="E83"/>
  <c r="E84" s="1"/>
  <c r="E95"/>
  <c r="E101" s="1"/>
  <c r="F617"/>
  <c r="F626" s="1"/>
  <c r="D517"/>
  <c r="D522" s="1"/>
  <c r="E617"/>
  <c r="E626" s="1"/>
  <c r="D617"/>
  <c r="D626" s="1"/>
  <c r="D394"/>
  <c r="E394"/>
  <c r="F517"/>
  <c r="F522" s="1"/>
  <c r="F285"/>
  <c r="F293" s="1"/>
  <c r="E517"/>
  <c r="E522" s="1"/>
  <c r="F83"/>
  <c r="F84" s="1"/>
  <c r="E563" l="1"/>
  <c r="E122"/>
  <c r="E375"/>
  <c r="E400" s="1"/>
  <c r="F563"/>
  <c r="D563"/>
  <c r="D122"/>
  <c r="D375"/>
  <c r="D400" s="1"/>
  <c r="F375"/>
  <c r="F400" s="1"/>
  <c r="F122"/>
  <c r="E578" l="1"/>
  <c r="E627" s="1"/>
  <c r="E679" s="1"/>
  <c r="D578"/>
  <c r="D627" s="1"/>
  <c r="D679" s="1"/>
  <c r="F578"/>
  <c r="F627" s="1"/>
  <c r="F679" s="1"/>
  <c r="E14" l="1"/>
  <c r="D14" l="1"/>
  <c r="F14" l="1"/>
</calcChain>
</file>

<file path=xl/sharedStrings.xml><?xml version="1.0" encoding="utf-8"?>
<sst xmlns="http://schemas.openxmlformats.org/spreadsheetml/2006/main" count="1074" uniqueCount="473">
  <si>
    <t>Soil &amp; Water Conservation</t>
  </si>
  <si>
    <t>Ecology and Environment</t>
  </si>
  <si>
    <t>(a) Capital Account of Agriculture and Allied Activities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</si>
  <si>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</si>
  <si>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</si>
  <si>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</si>
  <si>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</si>
  <si>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</si>
  <si>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</si>
  <si>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Forestry and Wildlife Department</t>
  </si>
  <si>
    <t>Head Office Establishment</t>
  </si>
  <si>
    <t>13.44.01</t>
  </si>
  <si>
    <t>Salaries</t>
  </si>
  <si>
    <t>13.44.11</t>
  </si>
  <si>
    <t>Travel Expenses</t>
  </si>
  <si>
    <t>13.44.13</t>
  </si>
  <si>
    <t>Office Expenses</t>
  </si>
  <si>
    <t>13.45.01</t>
  </si>
  <si>
    <t>13.45.11</t>
  </si>
  <si>
    <t>13.45.13</t>
  </si>
  <si>
    <t>13.46.01</t>
  </si>
  <si>
    <t>13.46.11</t>
  </si>
  <si>
    <t>13.46.13</t>
  </si>
  <si>
    <t>13.47.01</t>
  </si>
  <si>
    <t>13.47.11</t>
  </si>
  <si>
    <t>13.47.13</t>
  </si>
  <si>
    <t>13.48.01</t>
  </si>
  <si>
    <t>13.48.11</t>
  </si>
  <si>
    <t>13.48.13</t>
  </si>
  <si>
    <t>Soil Conservation</t>
  </si>
  <si>
    <t>Other Expenditure</t>
  </si>
  <si>
    <t>00.44.02</t>
  </si>
  <si>
    <t>Wages</t>
  </si>
  <si>
    <t>Principal Chief Conservator of Forest</t>
  </si>
  <si>
    <t>00.60.01</t>
  </si>
  <si>
    <t>00.60.11</t>
  </si>
  <si>
    <t>00.60.13</t>
  </si>
  <si>
    <t>00.60.21</t>
  </si>
  <si>
    <t>00.60.27</t>
  </si>
  <si>
    <t>00.60.50</t>
  </si>
  <si>
    <t>Other Charges</t>
  </si>
  <si>
    <t>00.45.01</t>
  </si>
  <si>
    <t>00.45.11</t>
  </si>
  <si>
    <t>00.45.13</t>
  </si>
  <si>
    <t>00.45.27</t>
  </si>
  <si>
    <t>00.46.01</t>
  </si>
  <si>
    <t>00.46.11</t>
  </si>
  <si>
    <t>00.46.13</t>
  </si>
  <si>
    <t>00.46.27</t>
  </si>
  <si>
    <t>00.47.01</t>
  </si>
  <si>
    <t>00.47.11</t>
  </si>
  <si>
    <t>00.47.13</t>
  </si>
  <si>
    <t>00.47.27</t>
  </si>
  <si>
    <t>00.48.01</t>
  </si>
  <si>
    <t>00.48.11</t>
  </si>
  <si>
    <t>00.48.13</t>
  </si>
  <si>
    <t>00.48.27</t>
  </si>
  <si>
    <t>Research</t>
  </si>
  <si>
    <t>Establishment</t>
  </si>
  <si>
    <t>60.00.01</t>
  </si>
  <si>
    <t>Demarcation Survey</t>
  </si>
  <si>
    <t>63.00.01</t>
  </si>
  <si>
    <t>63.00.11</t>
  </si>
  <si>
    <t>63.00.13</t>
  </si>
  <si>
    <t>Working Plan Survey</t>
  </si>
  <si>
    <t>64.00.01</t>
  </si>
  <si>
    <t>64.00.02</t>
  </si>
  <si>
    <t>64.00.11</t>
  </si>
  <si>
    <t>64.00.13</t>
  </si>
  <si>
    <t>Planning and Statistical Cell</t>
  </si>
  <si>
    <t>65.00.01</t>
  </si>
  <si>
    <t>Forest Protection Schemes</t>
  </si>
  <si>
    <t>Bio-Diversity  Schemes</t>
  </si>
  <si>
    <t>Forest Conservation, Development and Regeneration</t>
  </si>
  <si>
    <t>Social and Farm Forestry</t>
  </si>
  <si>
    <t>Social Forestry</t>
  </si>
  <si>
    <t>69.45.01</t>
  </si>
  <si>
    <t>69.45.11</t>
  </si>
  <si>
    <t>69.45.13</t>
  </si>
  <si>
    <t>69.46.01</t>
  </si>
  <si>
    <t>69.46.11</t>
  </si>
  <si>
    <t>69.46.13</t>
  </si>
  <si>
    <t>69.47.01</t>
  </si>
  <si>
    <t>69.47.11</t>
  </si>
  <si>
    <t>69.47.13</t>
  </si>
  <si>
    <t>69.48.01</t>
  </si>
  <si>
    <t>69.48.11</t>
  </si>
  <si>
    <t>69.48.13</t>
  </si>
  <si>
    <t>Sericulture</t>
  </si>
  <si>
    <t>70.61.01</t>
  </si>
  <si>
    <t>Plantation Schemes</t>
  </si>
  <si>
    <t>Forest Produce</t>
  </si>
  <si>
    <t>Utilisation Circle</t>
  </si>
  <si>
    <t>73.45.01</t>
  </si>
  <si>
    <t>73.45.11</t>
  </si>
  <si>
    <t>73.45.13</t>
  </si>
  <si>
    <t>73.45.72</t>
  </si>
  <si>
    <t>00.38.01</t>
  </si>
  <si>
    <t>00.38.11</t>
  </si>
  <si>
    <t>00.45.71</t>
  </si>
  <si>
    <t>00.48.02</t>
  </si>
  <si>
    <t>00.66.01</t>
  </si>
  <si>
    <t>00.66.11</t>
  </si>
  <si>
    <t>00.66.13</t>
  </si>
  <si>
    <t>Zoological Park</t>
  </si>
  <si>
    <t>61.00.01</t>
  </si>
  <si>
    <t>61.00.02</t>
  </si>
  <si>
    <t>61.00.11</t>
  </si>
  <si>
    <t>61.00.13</t>
  </si>
  <si>
    <t>Public Gardens</t>
  </si>
  <si>
    <t>00.45.02</t>
  </si>
  <si>
    <t>00.44.01</t>
  </si>
  <si>
    <t>00.44.13</t>
  </si>
  <si>
    <t>00.44.81</t>
  </si>
  <si>
    <t>Conservation Programmes</t>
  </si>
  <si>
    <t>Botanical Garden at Rumtek</t>
  </si>
  <si>
    <t>60.00.02</t>
  </si>
  <si>
    <t>Prevention &amp; Control of Pollution</t>
  </si>
  <si>
    <t>CAPITAL SECTION</t>
  </si>
  <si>
    <t>44</t>
  </si>
  <si>
    <t>II. Details of the estimates and the heads under which this grant will be accounted for:</t>
  </si>
  <si>
    <t>Revenue</t>
  </si>
  <si>
    <t>Capital</t>
  </si>
  <si>
    <t>C - Economic Services (a) Agriculture and Allied Activities</t>
  </si>
  <si>
    <t>C - Capital Accounts of Economic Services</t>
  </si>
  <si>
    <t>Forestry</t>
  </si>
  <si>
    <t>61.00.50</t>
  </si>
  <si>
    <t>66.44.72</t>
  </si>
  <si>
    <t>(i) Science Technology and Environment</t>
  </si>
  <si>
    <t>Statistics</t>
  </si>
  <si>
    <t>Farm Forestry</t>
  </si>
  <si>
    <t>Operational Expenses</t>
  </si>
  <si>
    <t>Environmental Forestry and Wildlife</t>
  </si>
  <si>
    <t>Khanchendzonga National Park</t>
  </si>
  <si>
    <t>Maintenance</t>
  </si>
  <si>
    <t>Note:</t>
  </si>
  <si>
    <t>Promotion of Sustainable Forest Management (JICA-EAP)</t>
  </si>
  <si>
    <t>(In Thousands of Rupees)</t>
  </si>
  <si>
    <t>Rec</t>
  </si>
  <si>
    <t>11.44.81</t>
  </si>
  <si>
    <t>11.00.81</t>
  </si>
  <si>
    <t>11.00.82</t>
  </si>
  <si>
    <t>Green India Mission (Central Share)</t>
  </si>
  <si>
    <t xml:space="preserve">Conservation of Natural Resources and Eco-systems </t>
  </si>
  <si>
    <t>Survey &amp; Utilisation of Forest Resources</t>
  </si>
  <si>
    <t>Assistance under ENVIS (100% CSS)</t>
  </si>
  <si>
    <t>13.66.31</t>
  </si>
  <si>
    <t>73.45.02</t>
  </si>
  <si>
    <t>12.67.82</t>
  </si>
  <si>
    <t>Biodiversity of Kanchendzonga Biosphere Reserve (Central  Share)</t>
  </si>
  <si>
    <t>13.45.86</t>
  </si>
  <si>
    <t>13.45.87</t>
  </si>
  <si>
    <t>13.45.88</t>
  </si>
  <si>
    <t>13.46.87</t>
  </si>
  <si>
    <t>13.47.88</t>
  </si>
  <si>
    <t>13.48.84</t>
  </si>
  <si>
    <t>13.48.85</t>
  </si>
  <si>
    <t>13.66.82</t>
  </si>
  <si>
    <t>12.00.84</t>
  </si>
  <si>
    <t>12.00.85</t>
  </si>
  <si>
    <t>12.00.86</t>
  </si>
  <si>
    <t>Conservation &amp; Management of Tamzey (Hans Pokhari) (Central Share)</t>
  </si>
  <si>
    <t>Research and Ecological Regeneration</t>
  </si>
  <si>
    <t>Barsey Rhododendron Sanctuary (Central Share)</t>
  </si>
  <si>
    <t>62.00.31</t>
  </si>
  <si>
    <t>11.44.82</t>
  </si>
  <si>
    <t>Development of Phangulakha Sanctuary (Central Share)</t>
  </si>
  <si>
    <t>Development of Maenam Sanctuaries (Central Share)</t>
  </si>
  <si>
    <t>Management of Wetland-Gurudongmar/ Tsongu/ Phedang 
(Central Share)</t>
  </si>
  <si>
    <t>National Afforestation Programme 
(National Mission for Green India)</t>
  </si>
  <si>
    <t>Conservation &amp; Management of Khechuperi Wetland 
(Central Share)</t>
  </si>
  <si>
    <t>Afforestation and Ecology Development</t>
  </si>
  <si>
    <t>State Authority</t>
  </si>
  <si>
    <t>Sikkim</t>
  </si>
  <si>
    <t>Compensatory Afforestation</t>
  </si>
  <si>
    <t>Catchment Area Treatment Plan</t>
  </si>
  <si>
    <t>Integrated Wildlife Management Plan</t>
  </si>
  <si>
    <t>Interest</t>
  </si>
  <si>
    <t>Others</t>
  </si>
  <si>
    <t>01.23.45</t>
  </si>
  <si>
    <t>01.23.71</t>
  </si>
  <si>
    <t>01.23.72</t>
  </si>
  <si>
    <t>01.23.73</t>
  </si>
  <si>
    <t>01.23.74</t>
  </si>
  <si>
    <t>01.23.75</t>
  </si>
  <si>
    <t>12.00.87</t>
  </si>
  <si>
    <t>Conservation and Management of Bedang Tso Wetland (Central Share)</t>
  </si>
  <si>
    <t>12.00.88</t>
  </si>
  <si>
    <t>12.00.89</t>
  </si>
  <si>
    <t>12.00.90</t>
  </si>
  <si>
    <t>Conservation and Management of Tembao Wetland (Central Share)</t>
  </si>
  <si>
    <t>Conservation and Management of Tsomgo Wetland (Central Share)</t>
  </si>
  <si>
    <t>Conservation and Management of Nakuchu Wetland (Central Share)</t>
  </si>
  <si>
    <t>00.60.02</t>
  </si>
  <si>
    <t>13.46.02</t>
  </si>
  <si>
    <t>00.47.02</t>
  </si>
  <si>
    <t>63.00.02</t>
  </si>
  <si>
    <t>66.44.02</t>
  </si>
  <si>
    <t>66.45.02</t>
  </si>
  <si>
    <t>66.46.02</t>
  </si>
  <si>
    <t>66.47.02</t>
  </si>
  <si>
    <t>70.47.02</t>
  </si>
  <si>
    <t>70.61.02</t>
  </si>
  <si>
    <t>71.45.02</t>
  </si>
  <si>
    <t>71.46.02</t>
  </si>
  <si>
    <t>71.47.02</t>
  </si>
  <si>
    <t>71.48.02</t>
  </si>
  <si>
    <t>00.46.02</t>
  </si>
  <si>
    <t>00.66.02</t>
  </si>
  <si>
    <t>11.00.83</t>
  </si>
  <si>
    <t>Forest Development Agency (FDA) (State Share)</t>
  </si>
  <si>
    <t>11.00.84</t>
  </si>
  <si>
    <t>Green India Mission (State Share)</t>
  </si>
  <si>
    <t>12.67.83</t>
  </si>
  <si>
    <t>Biodiversity of Kanchendzonga Biosphere Reserve (State Share)</t>
  </si>
  <si>
    <t>13.45.89</t>
  </si>
  <si>
    <t>13.45.90</t>
  </si>
  <si>
    <t>13.45.91</t>
  </si>
  <si>
    <t>Development of Phangulakha Sanctuary (State Share)</t>
  </si>
  <si>
    <t>13.46.88</t>
  </si>
  <si>
    <t>Barsey Rhododendron Sanctuary (State Share)</t>
  </si>
  <si>
    <t>13.47.89</t>
  </si>
  <si>
    <t>Development of Shingba Rhododendron  Sanctuary (State Share)</t>
  </si>
  <si>
    <t>13.48.86</t>
  </si>
  <si>
    <t>13.48.87</t>
  </si>
  <si>
    <t>13.66.84</t>
  </si>
  <si>
    <t>Development of Khanchendzonga National Park  (Central Share)
(Central Share)</t>
  </si>
  <si>
    <t>12.00.91</t>
  </si>
  <si>
    <t>12.00.92</t>
  </si>
  <si>
    <t>12.00.93</t>
  </si>
  <si>
    <t>12.00.94</t>
  </si>
  <si>
    <t>12.00.95</t>
  </si>
  <si>
    <t>Conservation &amp; Management of Khechuperi Wetland (State Share)</t>
  </si>
  <si>
    <t>Conservation &amp; Management of Tamzey (Hans Pokhari)  (State Share)</t>
  </si>
  <si>
    <t>Conservation and Management of Tembao Wetland  (State Share)</t>
  </si>
  <si>
    <t>Conservation and Management of Tsomgo Wetland  (State Share)</t>
  </si>
  <si>
    <t>Conservation and Management of Nakuchu Wetland  (State Share)</t>
  </si>
  <si>
    <t>00.38.71</t>
  </si>
  <si>
    <t>SECURE Himalayas</t>
  </si>
  <si>
    <t>08.00.83</t>
  </si>
  <si>
    <t>Development of Fambung Lho Sanctuary (State Share)</t>
  </si>
  <si>
    <t>Development of Maenam Sanctuaries (State Share)</t>
  </si>
  <si>
    <t>Development of Kitam Sanctuary (State Share)</t>
  </si>
  <si>
    <t>National Livestock Management Programme</t>
  </si>
  <si>
    <t>Development of Fambung Lho  Sanctuary 
(Central Share)</t>
  </si>
  <si>
    <t>Net Present Value of Forest Land</t>
  </si>
  <si>
    <t>Chief Wildlife Warden Establishment</t>
  </si>
  <si>
    <t>Integrated Development of Wildlife Habitats</t>
  </si>
  <si>
    <t>Forestry and Wildlife</t>
  </si>
  <si>
    <t>Capital Outlay on Forestry &amp; Wildlife</t>
  </si>
  <si>
    <t>Wildlife Preservation</t>
  </si>
  <si>
    <t>Environmental Forestry &amp; Wildlife</t>
  </si>
  <si>
    <t>Forestry and Wildlife , 04.904- Deduct amount met from State Compensatory Afforestation Fund (SCAF)</t>
  </si>
  <si>
    <t>13.47.02</t>
  </si>
  <si>
    <t>66.44.73</t>
  </si>
  <si>
    <t>Promotion of Sustainable Forest Management (JICA-EAP) State Share</t>
  </si>
  <si>
    <t>00.44</t>
  </si>
  <si>
    <t>DEMAND NO. 12</t>
  </si>
  <si>
    <t>FOREST AND ENVIRONMENT</t>
  </si>
  <si>
    <t>Actuals</t>
  </si>
  <si>
    <t>Budget 
Estimate</t>
  </si>
  <si>
    <t>Revised 
Estimate</t>
  </si>
  <si>
    <t>State Compensatory Afforestation (SCA)</t>
  </si>
  <si>
    <t>Development of Shingba Rhododendron  Sanctuary (Central Share)</t>
  </si>
  <si>
    <t>Other Taxes and Duties on Commodities and Services</t>
  </si>
  <si>
    <t>Transfer to Reserve Fund/ Deposit Accounts</t>
  </si>
  <si>
    <t>00.00.72</t>
  </si>
  <si>
    <t>Transfer to Sikkim Ecology Fund</t>
  </si>
  <si>
    <t>60.00.11</t>
  </si>
  <si>
    <t>60.00.13</t>
  </si>
  <si>
    <t>Directorate of Eco Tourism</t>
  </si>
  <si>
    <t>68.00.01</t>
  </si>
  <si>
    <t>Spring Shed Management Programme (WDC-PMKSY)</t>
  </si>
  <si>
    <t>39.00.81</t>
  </si>
  <si>
    <t>Spring Shed Management Programme (WDC-PMKSY) (Central Share)</t>
  </si>
  <si>
    <t>08.00.84</t>
  </si>
  <si>
    <t>Grants to Various Boards</t>
  </si>
  <si>
    <t>39.00.82</t>
  </si>
  <si>
    <t>Spring Shed Management Programme (WDC-PMKSY) (State Share)</t>
  </si>
  <si>
    <t>A- General Services (b) Fiscal Services (iii) Collection of Taxes on Commodities and Services</t>
  </si>
  <si>
    <t>2022-23</t>
  </si>
  <si>
    <t>12.00.96</t>
  </si>
  <si>
    <t>Management of Wetland-Gurudongmar/ Tsongu/ Phedang (State Share)</t>
  </si>
  <si>
    <t>Gangtok District</t>
  </si>
  <si>
    <t>Gyalshing District</t>
  </si>
  <si>
    <t>Mangan District</t>
  </si>
  <si>
    <t>Namchi District</t>
  </si>
  <si>
    <t>00.49.01</t>
  </si>
  <si>
    <t>00.49.02</t>
  </si>
  <si>
    <t>00.49.11</t>
  </si>
  <si>
    <t>00.49.13</t>
  </si>
  <si>
    <t>00.49.27</t>
  </si>
  <si>
    <t>Pakyong District</t>
  </si>
  <si>
    <t>Soreng District</t>
  </si>
  <si>
    <t>00.50.01</t>
  </si>
  <si>
    <t>00.50.02</t>
  </si>
  <si>
    <t>00.50.11</t>
  </si>
  <si>
    <t>00.50.13</t>
  </si>
  <si>
    <t>00.50.27</t>
  </si>
  <si>
    <t>National Afforestation Programme (Green India Mission and Forest Management)</t>
  </si>
  <si>
    <t>Development of Himalayan Zoological Park</t>
  </si>
  <si>
    <t>2023-24</t>
  </si>
  <si>
    <t>00.789</t>
  </si>
  <si>
    <t>Special Component Plan for Scheduled Castes</t>
  </si>
  <si>
    <t>39.00.83</t>
  </si>
  <si>
    <t>39.00.84</t>
  </si>
  <si>
    <t>00.796</t>
  </si>
  <si>
    <t>Tribal Area Sub-plan</t>
  </si>
  <si>
    <t>39.00.85</t>
  </si>
  <si>
    <t>39.00.86</t>
  </si>
  <si>
    <t>69.45.02</t>
  </si>
  <si>
    <t>69.47.02</t>
  </si>
  <si>
    <t>Medical Treatment</t>
  </si>
  <si>
    <t>Allowances</t>
  </si>
  <si>
    <t>Domestic Travel Expenses</t>
  </si>
  <si>
    <t>Fuel and Lubricants</t>
  </si>
  <si>
    <t>13.44.06</t>
  </si>
  <si>
    <t>13.44.07</t>
  </si>
  <si>
    <t>13.45.06</t>
  </si>
  <si>
    <t>13.45.07</t>
  </si>
  <si>
    <t>13.46.06</t>
  </si>
  <si>
    <t>13.46.07</t>
  </si>
  <si>
    <t>13.47.06</t>
  </si>
  <si>
    <t>13.47.07</t>
  </si>
  <si>
    <t>13.48.06</t>
  </si>
  <si>
    <t>13.48.07</t>
  </si>
  <si>
    <t>00.45.06</t>
  </si>
  <si>
    <t>00.45.07</t>
  </si>
  <si>
    <t>00.45.24</t>
  </si>
  <si>
    <t>00.46.06</t>
  </si>
  <si>
    <t>00.46.07</t>
  </si>
  <si>
    <t>00.47.06</t>
  </si>
  <si>
    <t>00.47.07</t>
  </si>
  <si>
    <t>00.48.06</t>
  </si>
  <si>
    <t>00.48.07</t>
  </si>
  <si>
    <t>00.49.06</t>
  </si>
  <si>
    <t>00.49.07</t>
  </si>
  <si>
    <t>00.50.06</t>
  </si>
  <si>
    <t>00.50.07</t>
  </si>
  <si>
    <t>00.60.06</t>
  </si>
  <si>
    <t>00.60.07</t>
  </si>
  <si>
    <t>00.60.24</t>
  </si>
  <si>
    <t>Foreign Travel Expenses</t>
  </si>
  <si>
    <t>00.60.12</t>
  </si>
  <si>
    <t xml:space="preserve">Materials and Supplies  </t>
  </si>
  <si>
    <t>Printing and Publications</t>
  </si>
  <si>
    <t>Rent for others</t>
  </si>
  <si>
    <t>00.60.16</t>
  </si>
  <si>
    <t>00.60.18</t>
  </si>
  <si>
    <t>00.60.49</t>
  </si>
  <si>
    <t>Other Revenue Expenditure</t>
  </si>
  <si>
    <t>60.00.06</t>
  </si>
  <si>
    <t>60.00.07</t>
  </si>
  <si>
    <t>63.00.06</t>
  </si>
  <si>
    <t>63.00.07</t>
  </si>
  <si>
    <t>64.00.06</t>
  </si>
  <si>
    <t>64.00.07</t>
  </si>
  <si>
    <t>65.00.06</t>
  </si>
  <si>
    <t>65.00.07</t>
  </si>
  <si>
    <t>68.00.06</t>
  </si>
  <si>
    <t>68.00.07</t>
  </si>
  <si>
    <t>69.45.07</t>
  </si>
  <si>
    <t>69.45.06</t>
  </si>
  <si>
    <t>69.46.06</t>
  </si>
  <si>
    <t>69.46.07</t>
  </si>
  <si>
    <t>69.47.06</t>
  </si>
  <si>
    <t>69.47.07</t>
  </si>
  <si>
    <t>69.48.06</t>
  </si>
  <si>
    <t>69.48.07</t>
  </si>
  <si>
    <t>73.45.06</t>
  </si>
  <si>
    <t>73.45.07</t>
  </si>
  <si>
    <t>00.38.06</t>
  </si>
  <si>
    <t>00.38.07</t>
  </si>
  <si>
    <t>00.66.06</t>
  </si>
  <si>
    <t>00.66.07</t>
  </si>
  <si>
    <t>61.00.06</t>
  </si>
  <si>
    <t>61.00.07</t>
  </si>
  <si>
    <t>61.00.24</t>
  </si>
  <si>
    <t>00.44.06</t>
  </si>
  <si>
    <t>00.44.07</t>
  </si>
  <si>
    <t>Leave Travel Concession</t>
  </si>
  <si>
    <t>Training Expenses</t>
  </si>
  <si>
    <t>00.60.08</t>
  </si>
  <si>
    <t>00.60.09</t>
  </si>
  <si>
    <t>70.61.06</t>
  </si>
  <si>
    <t>70.61.07</t>
  </si>
  <si>
    <t>73.45.49</t>
  </si>
  <si>
    <t>13.38.71</t>
  </si>
  <si>
    <t>13.38.72</t>
  </si>
  <si>
    <t>00.38.72</t>
  </si>
  <si>
    <t>00.45.29</t>
  </si>
  <si>
    <t>Repairs and Maintenance</t>
  </si>
  <si>
    <t>12.00.97</t>
  </si>
  <si>
    <t>Conservation and Management of Yanchentsou Wetland (Central Share)</t>
  </si>
  <si>
    <t>Grant-in-Aid General</t>
  </si>
  <si>
    <t>Repair and Maintenance</t>
  </si>
  <si>
    <t>13.44.02</t>
  </si>
  <si>
    <t>00.60.29</t>
  </si>
  <si>
    <t>39</t>
  </si>
  <si>
    <t>SECURE Himalayas (Central Share)</t>
  </si>
  <si>
    <t>13.49.01</t>
  </si>
  <si>
    <t>13.49.11</t>
  </si>
  <si>
    <t>13.49.13</t>
  </si>
  <si>
    <t>13.50.01</t>
  </si>
  <si>
    <t>13.50.11</t>
  </si>
  <si>
    <t>13.50.13</t>
  </si>
  <si>
    <t>68.00.82</t>
  </si>
  <si>
    <t>Khey Bumsa-Thekung Tek Rural Mart and Bamboo Recreation Park at Labi and Gaikhana villages of Kabi Lungtshok (State Share NEC )</t>
  </si>
  <si>
    <t>69.49.01</t>
  </si>
  <si>
    <t>69.49.11</t>
  </si>
  <si>
    <t>69.50.01</t>
  </si>
  <si>
    <t>69.50.11</t>
  </si>
  <si>
    <t>69.50.13</t>
  </si>
  <si>
    <t>69.49.13</t>
  </si>
  <si>
    <t>Integrated Forest Protection Scheme (Central Share)</t>
  </si>
  <si>
    <t>Integrated Forest Protection Scheme(State Share)</t>
  </si>
  <si>
    <t>Grant in Aid General</t>
  </si>
  <si>
    <t>Materials and Supplies</t>
  </si>
  <si>
    <t>Rabdentse Bird Park</t>
  </si>
  <si>
    <t>61.00.21</t>
  </si>
  <si>
    <t>00.60.28</t>
  </si>
  <si>
    <t>Professional Services</t>
  </si>
  <si>
    <t>12.00.98</t>
  </si>
  <si>
    <t>Conservation and Management of Yanchentsou Wetland (State Share)</t>
  </si>
  <si>
    <t>13.67.21</t>
  </si>
  <si>
    <t>Development of Kitam Sanctuary (Central Share)</t>
  </si>
  <si>
    <t xml:space="preserve"> </t>
  </si>
  <si>
    <t>The above estimate does not include the recoveries shown in the next page, which are adjusted in account as reduction in expenditure by debit to 8121- General and Other Reserve Fund ,129- State Compensatory Fund ( SCAF) and credit to 2406- Forestry and Wildlife, 04.904- Deduct amount met from State Compensatory Afforestation Fund  (SCAF)</t>
  </si>
  <si>
    <t>13.39.71</t>
  </si>
  <si>
    <t>I. Estimate of the amount required in the year ending 31st March, 2025 to defray the charges in respect of  Forest and Environment</t>
  </si>
  <si>
    <t>46</t>
  </si>
  <si>
    <t>50</t>
  </si>
  <si>
    <t>Sidkeong Tulku Park- Rabdentse</t>
  </si>
  <si>
    <t>46.50.21</t>
  </si>
  <si>
    <t>Environmental Forestry and Wild Life</t>
  </si>
  <si>
    <t>Purchase of Vehicle</t>
  </si>
  <si>
    <t>49.00.51</t>
  </si>
  <si>
    <t>Motor Vehicle</t>
  </si>
  <si>
    <t>Upgradation of Sidkeong Tulku Park, Rabdentse</t>
  </si>
  <si>
    <t>50.00.60</t>
  </si>
  <si>
    <t>Other Capital Expenditure</t>
  </si>
  <si>
    <t>Upgradation of Eco Trail inside Barsey Rhododendron Sanctuary</t>
  </si>
  <si>
    <t>51.00.60</t>
  </si>
  <si>
    <t>Forestry and Wildlife , 00.911- Recoveries of overpayment</t>
  </si>
  <si>
    <t>46.50.29</t>
  </si>
  <si>
    <t xml:space="preserve">Development of Eco- Tourism Zone at Zandi Dara under Barsey Rhododendron Sanctuary </t>
  </si>
  <si>
    <t>14.00.49</t>
  </si>
  <si>
    <t>Communication and Buildings</t>
  </si>
  <si>
    <t>Construction</t>
  </si>
  <si>
    <t>Training Institute at Bulbuley</t>
  </si>
  <si>
    <t>60.70.72</t>
  </si>
  <si>
    <t>Buildings and Structures</t>
  </si>
  <si>
    <t>Sishu Samriddhi Yojana</t>
  </si>
  <si>
    <t>00.61.49</t>
  </si>
  <si>
    <t>Wildlife</t>
  </si>
  <si>
    <t>Machinery and Equipment</t>
  </si>
  <si>
    <t>Modern Technology to reduce Human- Wildlife Conflict</t>
  </si>
  <si>
    <t>44.60.52</t>
  </si>
  <si>
    <t>52.00.60</t>
  </si>
  <si>
    <t>Construction of Peacock Park at Baiguney Zoom- Salghari under Soreng District</t>
  </si>
  <si>
    <t>Development of Khanchendzonga National Park 
(State Share)</t>
  </si>
  <si>
    <t>Grassland Development &amp; Grass Reserve 
(Central Share)</t>
  </si>
  <si>
    <t>Grassland Development &amp; Grass Reserve 
(State Share)</t>
  </si>
  <si>
    <t>Development of Eco- Tourism Zone at Zandi Dara under Barsey Rhododendron Sanctuary (Central Share)</t>
  </si>
  <si>
    <t>Development of Kyongnosla Alpine Sanctuary 
(State Share)</t>
  </si>
  <si>
    <t>Development of Kyongnosla Alpine Sanctuary 
(Central Share)</t>
  </si>
  <si>
    <t>Environmental Research and Ecological Regeneration</t>
  </si>
  <si>
    <t>Minor Civil and Electric Works</t>
  </si>
  <si>
    <t>Forest Development Agency (FDA) (Central Share)</t>
  </si>
  <si>
    <t>Recovery Programme of Snow Leopard in Sikkim
(Central Share)</t>
  </si>
  <si>
    <t>Recovery Programme of Snow Leopard in Sikkim
(State Share)</t>
  </si>
  <si>
    <t>Budget 
 Estimate</t>
  </si>
  <si>
    <t>2024-25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</si>
</sst>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64" formatCode="00#"/>
    <numFmt numFmtId="165" formatCode="0#"/>
    <numFmt numFmtId="166" formatCode="##"/>
    <numFmt numFmtId="167" formatCode="0000##"/>
    <numFmt numFmtId="168" formatCode="00000#"/>
    <numFmt numFmtId="169" formatCode="00.00#"/>
    <numFmt numFmtId="170" formatCode="00.###"/>
    <numFmt numFmtId="171" formatCode="00.#0"/>
    <numFmt numFmtId="172" formatCode="00.000"/>
    <numFmt numFmtId="173" formatCode="#0"/>
    <numFmt numFmtId="174" formatCode="00.00"/>
    <numFmt numFmtId="175" formatCode="0_);\(0\)"/>
    <numFmt numFmtId="176" formatCode="_(* #,##0_);_(* \(#,##0\);_(* &quot;-&quot;??_);_(@_)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43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>
      <alignment horizontal="right"/>
    </xf>
    <xf numFmtId="43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43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43" fontId="3" fillId="0" borderId="0" xfId="1" applyFont="1" applyFill="1" applyAlignment="1">
      <alignment horizontal="right" wrapText="1"/>
    </xf>
    <xf numFmtId="43" fontId="4" fillId="0" borderId="0" xfId="1" applyFont="1" applyFill="1" applyBorder="1" applyAlignment="1">
      <alignment horizontal="right" vertical="top" wrapText="1"/>
    </xf>
    <xf numFmtId="43" fontId="4" fillId="0" borderId="0" xfId="1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3" fillId="0" borderId="0" xfId="2" applyFont="1" applyFill="1"/>
    <xf numFmtId="0" fontId="3" fillId="0" borderId="2" xfId="5" applyFont="1" applyFill="1" applyBorder="1"/>
    <xf numFmtId="0" fontId="3" fillId="0" borderId="2" xfId="5" applyFont="1" applyFill="1" applyBorder="1" applyAlignment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/>
    <xf numFmtId="0" fontId="1" fillId="0" borderId="0" xfId="0" applyFont="1" applyFill="1" applyAlignment="1"/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6" applyFont="1" applyFill="1" applyBorder="1" applyProtection="1"/>
    <xf numFmtId="0" fontId="3" fillId="0" borderId="3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6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top"/>
    </xf>
    <xf numFmtId="0" fontId="3" fillId="0" borderId="0" xfId="2" applyFont="1" applyFill="1" applyAlignment="1">
      <alignment horizontal="left"/>
    </xf>
    <xf numFmtId="0" fontId="3" fillId="0" borderId="0" xfId="6" applyFont="1" applyFill="1" applyAlignment="1">
      <alignment horizontal="left" vertical="top" wrapText="1"/>
    </xf>
    <xf numFmtId="0" fontId="3" fillId="0" borderId="0" xfId="6" applyFont="1" applyFill="1" applyAlignment="1">
      <alignment horizontal="right" vertical="top" wrapText="1"/>
    </xf>
    <xf numFmtId="0" fontId="3" fillId="0" borderId="2" xfId="5" applyFont="1" applyFill="1" applyBorder="1" applyAlignment="1">
      <alignment horizontal="left"/>
    </xf>
    <xf numFmtId="0" fontId="5" fillId="0" borderId="2" xfId="5" applyFont="1" applyFill="1" applyBorder="1" applyAlignment="1">
      <alignment horizontal="right"/>
    </xf>
    <xf numFmtId="0" fontId="3" fillId="0" borderId="0" xfId="6" applyFont="1" applyFill="1"/>
    <xf numFmtId="0" fontId="3" fillId="0" borderId="1" xfId="6" applyFont="1" applyFill="1" applyBorder="1" applyAlignment="1">
      <alignment horizontal="left" vertical="top" wrapText="1"/>
    </xf>
    <xf numFmtId="0" fontId="3" fillId="0" borderId="1" xfId="6" applyFont="1" applyFill="1" applyBorder="1" applyAlignment="1">
      <alignment horizontal="right" vertical="top" wrapText="1"/>
    </xf>
    <xf numFmtId="0" fontId="3" fillId="0" borderId="0" xfId="5" applyFont="1" applyFill="1" applyAlignment="1">
      <alignment horizontal="left" vertical="top"/>
    </xf>
    <xf numFmtId="0" fontId="3" fillId="0" borderId="1" xfId="5" applyFont="1" applyFill="1" applyBorder="1" applyAlignment="1">
      <alignment horizontal="right"/>
    </xf>
    <xf numFmtId="0" fontId="3" fillId="0" borderId="2" xfId="6" applyFont="1" applyFill="1" applyBorder="1" applyAlignment="1">
      <alignment horizontal="left" vertical="top" wrapText="1"/>
    </xf>
    <xf numFmtId="0" fontId="3" fillId="0" borderId="2" xfId="6" applyFont="1" applyFill="1" applyBorder="1" applyAlignment="1">
      <alignment horizontal="right" vertical="top" wrapText="1"/>
    </xf>
    <xf numFmtId="0" fontId="3" fillId="0" borderId="2" xfId="5" applyFont="1" applyFill="1" applyBorder="1" applyAlignment="1">
      <alignment vertical="center" wrapText="1"/>
    </xf>
    <xf numFmtId="0" fontId="3" fillId="0" borderId="2" xfId="6" applyFont="1" applyFill="1" applyBorder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right" vertical="top" wrapText="1"/>
    </xf>
    <xf numFmtId="0" fontId="4" fillId="0" borderId="0" xfId="2" applyFont="1" applyFill="1" applyAlignment="1">
      <alignment horizontal="left" vertical="top" wrapText="1"/>
    </xf>
    <xf numFmtId="170" fontId="4" fillId="0" borderId="0" xfId="2" applyNumberFormat="1" applyFont="1" applyFill="1" applyAlignment="1">
      <alignment horizontal="right" vertical="top" wrapText="1"/>
    </xf>
    <xf numFmtId="168" fontId="3" fillId="0" borderId="0" xfId="2" applyNumberFormat="1" applyFont="1" applyFill="1" applyAlignment="1">
      <alignment horizontal="right" vertical="top" wrapText="1"/>
    </xf>
    <xf numFmtId="169" fontId="4" fillId="0" borderId="0" xfId="2" applyNumberFormat="1" applyFont="1" applyFill="1" applyAlignment="1">
      <alignment horizontal="righ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/>
    <xf numFmtId="0" fontId="3" fillId="0" borderId="2" xfId="2" applyFont="1" applyFill="1" applyBorder="1" applyAlignment="1">
      <alignment vertical="top" wrapText="1"/>
    </xf>
    <xf numFmtId="168" fontId="3" fillId="0" borderId="2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/>
    <xf numFmtId="164" fontId="4" fillId="0" borderId="0" xfId="2" applyNumberFormat="1" applyFont="1" applyFill="1" applyAlignment="1">
      <alignment horizontal="right" vertical="top" wrapText="1"/>
    </xf>
    <xf numFmtId="0" fontId="3" fillId="0" borderId="2" xfId="2" applyFont="1" applyFill="1" applyBorder="1" applyAlignment="1">
      <alignment horizontal="right" vertical="top" wrapText="1"/>
    </xf>
    <xf numFmtId="49" fontId="4" fillId="0" borderId="0" xfId="6" applyNumberFormat="1" applyFont="1" applyFill="1" applyAlignment="1">
      <alignment horizontal="right" vertical="top" wrapText="1"/>
    </xf>
    <xf numFmtId="0" fontId="4" fillId="0" borderId="0" xfId="6" applyFont="1" applyFill="1" applyAlignment="1">
      <alignment horizontal="left" vertical="top" wrapText="1"/>
    </xf>
    <xf numFmtId="0" fontId="3" fillId="0" borderId="0" xfId="6" applyFont="1" applyFill="1" applyAlignment="1">
      <alignment vertical="top" wrapText="1"/>
    </xf>
    <xf numFmtId="170" fontId="4" fillId="0" borderId="0" xfId="6" applyNumberFormat="1" applyFont="1" applyFill="1" applyAlignment="1">
      <alignment horizontal="right" vertical="top" wrapText="1"/>
    </xf>
    <xf numFmtId="172" fontId="4" fillId="0" borderId="0" xfId="2" applyNumberFormat="1" applyFont="1" applyFill="1" applyAlignment="1">
      <alignment horizontal="right" vertical="top" wrapText="1"/>
    </xf>
    <xf numFmtId="49" fontId="3" fillId="0" borderId="0" xfId="2" applyNumberFormat="1" applyFont="1" applyFill="1" applyAlignment="1">
      <alignment horizontal="right" vertical="top" wrapText="1"/>
    </xf>
    <xf numFmtId="172" fontId="3" fillId="0" borderId="0" xfId="2" applyNumberFormat="1" applyFont="1" applyFill="1" applyAlignment="1">
      <alignment horizontal="right" vertical="top" wrapText="1"/>
    </xf>
    <xf numFmtId="165" fontId="3" fillId="0" borderId="0" xfId="2" applyNumberFormat="1" applyFont="1" applyFill="1" applyAlignment="1">
      <alignment horizontal="right" vertical="top" wrapText="1"/>
    </xf>
    <xf numFmtId="171" fontId="3" fillId="0" borderId="0" xfId="2" applyNumberFormat="1" applyFont="1" applyFill="1" applyAlignment="1">
      <alignment horizontal="right" vertical="top" wrapText="1"/>
    </xf>
    <xf numFmtId="171" fontId="3" fillId="0" borderId="2" xfId="2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vertical="top"/>
    </xf>
    <xf numFmtId="173" fontId="3" fillId="0" borderId="0" xfId="2" applyNumberFormat="1" applyFont="1" applyFill="1" applyAlignment="1">
      <alignment horizontal="right" vertical="top" wrapText="1"/>
    </xf>
    <xf numFmtId="167" fontId="3" fillId="0" borderId="0" xfId="2" applyNumberFormat="1" applyFont="1" applyFill="1" applyAlignment="1">
      <alignment horizontal="right" vertical="top" wrapText="1"/>
    </xf>
    <xf numFmtId="1" fontId="3" fillId="0" borderId="0" xfId="2" applyNumberFormat="1" applyFont="1" applyFill="1" applyAlignment="1">
      <alignment horizontal="right" vertical="top" wrapText="1"/>
    </xf>
    <xf numFmtId="176" fontId="3" fillId="0" borderId="0" xfId="2" applyNumberFormat="1" applyFont="1" applyFill="1" applyAlignment="1">
      <alignment horizontal="right"/>
    </xf>
    <xf numFmtId="0" fontId="4" fillId="0" borderId="2" xfId="2" applyFont="1" applyFill="1" applyBorder="1" applyAlignment="1">
      <alignment horizontal="left" vertical="top" wrapText="1"/>
    </xf>
    <xf numFmtId="174" fontId="3" fillId="0" borderId="0" xfId="2" applyNumberFormat="1" applyFont="1" applyFill="1" applyAlignment="1">
      <alignment horizontal="right" vertical="top" wrapText="1"/>
    </xf>
    <xf numFmtId="168" fontId="3" fillId="0" borderId="0" xfId="2" applyNumberFormat="1" applyFont="1" applyFill="1" applyAlignment="1">
      <alignment horizontal="right" vertical="center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center" vertical="top" wrapText="1"/>
    </xf>
    <xf numFmtId="0" fontId="4" fillId="0" borderId="2" xfId="2" applyFont="1" applyFill="1" applyBorder="1" applyAlignment="1">
      <alignment horizontal="right" vertical="top" wrapText="1"/>
    </xf>
    <xf numFmtId="168" fontId="3" fillId="0" borderId="0" xfId="3" applyNumberFormat="1" applyFont="1" applyFill="1" applyAlignment="1">
      <alignment horizontal="right" vertical="top" wrapText="1"/>
    </xf>
    <xf numFmtId="0" fontId="3" fillId="0" borderId="0" xfId="3" applyFont="1" applyFill="1" applyAlignment="1">
      <alignment horizontal="left" vertical="top" wrapText="1"/>
    </xf>
    <xf numFmtId="166" fontId="3" fillId="0" borderId="0" xfId="2" applyNumberFormat="1" applyFont="1" applyFill="1" applyAlignment="1">
      <alignment horizontal="righ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3" xfId="2" applyFont="1" applyFill="1" applyBorder="1" applyAlignment="1">
      <alignment horizontal="right" vertical="top" wrapText="1"/>
    </xf>
    <xf numFmtId="0" fontId="4" fillId="0" borderId="3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left" vertical="top"/>
    </xf>
    <xf numFmtId="0" fontId="3" fillId="0" borderId="0" xfId="2" applyFont="1" applyFill="1" applyBorder="1" applyAlignment="1">
      <alignment horizontal="center"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left" vertical="top" wrapText="1"/>
    </xf>
    <xf numFmtId="1" fontId="3" fillId="0" borderId="0" xfId="4" applyNumberFormat="1" applyFont="1" applyFill="1" applyAlignment="1">
      <alignment vertical="top"/>
    </xf>
    <xf numFmtId="0" fontId="3" fillId="0" borderId="0" xfId="4" applyFont="1" applyFill="1" applyAlignment="1">
      <alignment vertical="top" wrapText="1"/>
    </xf>
    <xf numFmtId="0" fontId="4" fillId="0" borderId="0" xfId="2" applyFont="1" applyFill="1" applyAlignment="1">
      <alignment vertical="top" wrapText="1"/>
    </xf>
    <xf numFmtId="171" fontId="3" fillId="0" borderId="0" xfId="2" applyNumberFormat="1" applyFont="1" applyFill="1" applyBorder="1" applyAlignment="1">
      <alignment horizontal="righ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0" xfId="6" applyFont="1" applyFill="1" applyBorder="1" applyAlignment="1">
      <alignment horizontal="left" vertical="top" wrapText="1"/>
    </xf>
    <xf numFmtId="0" fontId="3" fillId="0" borderId="0" xfId="6" applyFont="1" applyFill="1" applyBorder="1" applyAlignment="1">
      <alignment horizontal="right" vertical="top" wrapText="1"/>
    </xf>
    <xf numFmtId="0" fontId="3" fillId="0" borderId="0" xfId="6" applyFont="1" applyFill="1" applyBorder="1"/>
    <xf numFmtId="169" fontId="4" fillId="0" borderId="0" xfId="2" applyNumberFormat="1" applyFont="1" applyFill="1" applyBorder="1" applyAlignment="1">
      <alignment horizontal="right" vertical="top" wrapText="1"/>
    </xf>
    <xf numFmtId="1" fontId="3" fillId="0" borderId="0" xfId="2" applyNumberFormat="1" applyFont="1" applyFill="1" applyBorder="1" applyAlignment="1">
      <alignment horizontal="right" vertical="top" wrapText="1"/>
    </xf>
    <xf numFmtId="172" fontId="4" fillId="0" borderId="0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right" vertical="top" wrapText="1"/>
    </xf>
    <xf numFmtId="174" fontId="3" fillId="0" borderId="2" xfId="2" applyNumberFormat="1" applyFont="1" applyFill="1" applyBorder="1" applyAlignment="1">
      <alignment horizontal="right" vertical="top" wrapText="1"/>
    </xf>
    <xf numFmtId="168" fontId="3" fillId="0" borderId="0" xfId="3" applyNumberFormat="1" applyFont="1" applyFill="1" applyBorder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165" fontId="3" fillId="0" borderId="2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 wrapText="1"/>
    </xf>
    <xf numFmtId="0" fontId="3" fillId="0" borderId="1" xfId="2" applyNumberFormat="1" applyFont="1" applyFill="1" applyBorder="1" applyAlignment="1">
      <alignment horizontal="right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left" vertical="top" wrapText="1"/>
    </xf>
    <xf numFmtId="0" fontId="3" fillId="0" borderId="1" xfId="5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2" applyNumberFormat="1" applyFont="1" applyFill="1"/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Alignment="1">
      <alignment horizontal="right" vertical="top" wrapText="1"/>
    </xf>
    <xf numFmtId="175" fontId="4" fillId="0" borderId="0" xfId="6" applyNumberFormat="1" applyFont="1" applyFill="1" applyAlignment="1">
      <alignment horizontal="right"/>
    </xf>
    <xf numFmtId="174" fontId="3" fillId="0" borderId="0" xfId="2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left" vertical="top" wrapText="1"/>
    </xf>
    <xf numFmtId="173" fontId="3" fillId="0" borderId="0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>
      <alignment horizontal="center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1" xfId="5" applyFont="1" applyFill="1" applyBorder="1" applyAlignment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wrapText="1"/>
    </xf>
    <xf numFmtId="165" fontId="3" fillId="0" borderId="0" xfId="2" applyNumberFormat="1" applyFont="1" applyFill="1" applyAlignment="1">
      <alignment horizontal="center" vertical="top" wrapText="1"/>
    </xf>
    <xf numFmtId="0" fontId="4" fillId="0" borderId="0" xfId="2" applyFont="1" applyFill="1" applyAlignment="1">
      <alignment horizontal="center" vertical="top" wrapText="1"/>
    </xf>
  </cellXfs>
  <cellStyles count="8">
    <cellStyle name="Comma" xfId="1" builtinId="3"/>
    <cellStyle name="Comma 10" xfId="7"/>
    <cellStyle name="Normal" xfId="0" builtinId="0"/>
    <cellStyle name="Normal_budget 2004-05_2.6.04" xfId="2"/>
    <cellStyle name="Normal_budget 2004-05_2.6.04_1st supp. vol. II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colors>
    <mruColors>
      <color rgb="FFFF0066"/>
      <color rgb="FFFFCCFF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718"/>
  <sheetViews>
    <sheetView tabSelected="1" view="pageBreakPreview" zoomScale="115" zoomScaleSheetLayoutView="115" workbookViewId="0">
      <selection activeCell="L20" sqref="L20"/>
    </sheetView>
  </sheetViews>
  <sheetFormatPr defaultColWidth="8.85546875" defaultRowHeight="12.75"/>
  <cols>
    <col min="1" max="1" width="5.7109375" style="28" customWidth="1"/>
    <col min="2" max="2" width="8.140625" style="29" customWidth="1"/>
    <col min="3" max="3" width="41.7109375" style="24" customWidth="1"/>
    <col min="4" max="7" width="10.7109375" style="24" customWidth="1"/>
    <col min="8" max="16384" width="8.85546875" style="24"/>
  </cols>
  <sheetData>
    <row r="1" spans="1:7">
      <c r="A1" s="137" t="s">
        <v>257</v>
      </c>
      <c r="B1" s="137"/>
      <c r="C1" s="137"/>
      <c r="D1" s="137"/>
      <c r="E1" s="137"/>
      <c r="F1" s="137"/>
      <c r="G1" s="137"/>
    </row>
    <row r="2" spans="1:7" ht="13.5" customHeight="1">
      <c r="A2" s="137" t="s">
        <v>258</v>
      </c>
      <c r="B2" s="137"/>
      <c r="C2" s="137"/>
      <c r="D2" s="137"/>
      <c r="E2" s="137"/>
      <c r="F2" s="137"/>
      <c r="G2" s="137"/>
    </row>
    <row r="3" spans="1:7" ht="12" customHeight="1">
      <c r="A3" s="23"/>
      <c r="B3" s="40"/>
      <c r="C3" s="23"/>
      <c r="D3" s="23"/>
      <c r="F3" s="23"/>
      <c r="G3" s="23"/>
    </row>
    <row r="4" spans="1:7" ht="27" customHeight="1">
      <c r="A4" s="23"/>
      <c r="B4" s="139" t="s">
        <v>279</v>
      </c>
      <c r="C4" s="139"/>
      <c r="D4" s="41">
        <v>2045</v>
      </c>
      <c r="E4" s="138" t="s">
        <v>264</v>
      </c>
      <c r="F4" s="138"/>
      <c r="G4" s="138"/>
    </row>
    <row r="5" spans="1:7" ht="14.85" customHeight="1">
      <c r="C5" s="27" t="s">
        <v>123</v>
      </c>
      <c r="D5" s="23">
        <v>2402</v>
      </c>
      <c r="E5" s="42" t="s">
        <v>0</v>
      </c>
    </row>
    <row r="6" spans="1:7" ht="14.85" customHeight="1">
      <c r="C6" s="27"/>
      <c r="D6" s="23">
        <v>2406</v>
      </c>
      <c r="E6" s="42" t="s">
        <v>248</v>
      </c>
    </row>
    <row r="7" spans="1:7" ht="14.85" customHeight="1">
      <c r="C7" s="27" t="s">
        <v>128</v>
      </c>
      <c r="D7" s="23">
        <v>3435</v>
      </c>
      <c r="E7" s="42" t="s">
        <v>1</v>
      </c>
    </row>
    <row r="8" spans="1:7" ht="14.85" customHeight="1">
      <c r="C8" s="27" t="s">
        <v>124</v>
      </c>
      <c r="D8" s="39"/>
    </row>
    <row r="9" spans="1:7" ht="14.85" customHeight="1">
      <c r="C9" s="27" t="s">
        <v>2</v>
      </c>
      <c r="D9" s="23">
        <v>4406</v>
      </c>
      <c r="E9" s="42" t="s">
        <v>249</v>
      </c>
    </row>
    <row r="10" spans="1:7" ht="12" customHeight="1">
      <c r="C10" s="23"/>
      <c r="E10" s="42"/>
    </row>
    <row r="11" spans="1:7" ht="15" customHeight="1">
      <c r="A11" s="138" t="s">
        <v>429</v>
      </c>
      <c r="B11" s="138"/>
      <c r="C11" s="138"/>
      <c r="D11" s="138"/>
      <c r="E11" s="138"/>
      <c r="F11" s="138"/>
      <c r="G11" s="138"/>
    </row>
    <row r="12" spans="1:7" ht="12" customHeight="1">
      <c r="A12" s="42"/>
      <c r="E12" s="42"/>
    </row>
    <row r="13" spans="1:7" ht="13.5" customHeight="1">
      <c r="C13" s="23"/>
      <c r="D13" s="23" t="s">
        <v>121</v>
      </c>
      <c r="E13" s="23" t="s">
        <v>122</v>
      </c>
      <c r="F13" s="23" t="s">
        <v>5</v>
      </c>
    </row>
    <row r="14" spans="1:7" ht="13.5" customHeight="1">
      <c r="C14" s="40" t="s">
        <v>3</v>
      </c>
      <c r="D14" s="23">
        <f>G627</f>
        <v>3149057</v>
      </c>
      <c r="E14" s="23">
        <f>G678</f>
        <v>149768</v>
      </c>
      <c r="F14" s="23">
        <f>SUM(D14:E14)</f>
        <v>3298825</v>
      </c>
    </row>
    <row r="15" spans="1:7" ht="12" customHeight="1">
      <c r="C15" s="23"/>
      <c r="D15" s="23"/>
      <c r="E15" s="23"/>
      <c r="F15" s="23"/>
    </row>
    <row r="16" spans="1:7" ht="13.5" customHeight="1">
      <c r="A16" s="42" t="s">
        <v>120</v>
      </c>
    </row>
    <row r="17" spans="1:7" s="47" customFormat="1" ht="13.5" customHeight="1">
      <c r="A17" s="43"/>
      <c r="B17" s="44"/>
      <c r="C17" s="45"/>
      <c r="D17" s="25"/>
      <c r="E17" s="25"/>
      <c r="F17" s="25"/>
      <c r="G17" s="46" t="s">
        <v>137</v>
      </c>
    </row>
    <row r="18" spans="1:7" s="47" customFormat="1" ht="26.45" customHeight="1">
      <c r="A18" s="48"/>
      <c r="B18" s="49"/>
      <c r="C18" s="50"/>
      <c r="D18" s="51" t="s">
        <v>259</v>
      </c>
      <c r="E18" s="124" t="s">
        <v>260</v>
      </c>
      <c r="F18" s="124" t="s">
        <v>261</v>
      </c>
      <c r="G18" s="135" t="s">
        <v>471</v>
      </c>
    </row>
    <row r="19" spans="1:7" s="34" customFormat="1">
      <c r="A19" s="30"/>
      <c r="B19" s="31" t="s">
        <v>4</v>
      </c>
      <c r="C19" s="32"/>
      <c r="D19" s="33" t="s">
        <v>280</v>
      </c>
      <c r="E19" s="33" t="s">
        <v>301</v>
      </c>
      <c r="F19" s="33" t="s">
        <v>301</v>
      </c>
      <c r="G19" s="136" t="s">
        <v>472</v>
      </c>
    </row>
    <row r="20" spans="1:7" s="47" customFormat="1" ht="8.25" customHeight="1">
      <c r="A20" s="52"/>
      <c r="B20" s="53"/>
      <c r="C20" s="45"/>
      <c r="D20" s="26"/>
      <c r="E20" s="26"/>
      <c r="F20" s="26"/>
      <c r="G20" s="54"/>
    </row>
    <row r="21" spans="1:7" ht="14.85" customHeight="1">
      <c r="C21" s="56" t="s">
        <v>6</v>
      </c>
    </row>
    <row r="22" spans="1:7" ht="28.15" customHeight="1">
      <c r="B22" s="57">
        <v>2045</v>
      </c>
      <c r="C22" s="58" t="s">
        <v>264</v>
      </c>
      <c r="D22" s="15"/>
      <c r="E22" s="15"/>
      <c r="F22" s="15"/>
      <c r="G22" s="15"/>
    </row>
    <row r="23" spans="1:7" ht="14.45" customHeight="1">
      <c r="B23" s="59">
        <v>0.79700000000000004</v>
      </c>
      <c r="C23" s="58" t="s">
        <v>265</v>
      </c>
      <c r="D23" s="15"/>
      <c r="E23" s="15"/>
      <c r="F23" s="15"/>
      <c r="G23" s="15"/>
    </row>
    <row r="24" spans="1:7" ht="14.45" customHeight="1">
      <c r="B24" s="60" t="s">
        <v>266</v>
      </c>
      <c r="C24" s="123" t="s">
        <v>267</v>
      </c>
      <c r="D24" s="16">
        <v>0</v>
      </c>
      <c r="E24" s="20">
        <v>2120</v>
      </c>
      <c r="F24" s="20">
        <v>2120</v>
      </c>
      <c r="G24" s="20">
        <v>1000</v>
      </c>
    </row>
    <row r="25" spans="1:7" ht="14.45" customHeight="1">
      <c r="A25" s="28" t="s">
        <v>5</v>
      </c>
      <c r="B25" s="59">
        <v>0.79700000000000004</v>
      </c>
      <c r="C25" s="58" t="s">
        <v>265</v>
      </c>
      <c r="D25" s="16">
        <f t="shared" ref="D25:F26" si="0">D24</f>
        <v>0</v>
      </c>
      <c r="E25" s="20">
        <f t="shared" si="0"/>
        <v>2120</v>
      </c>
      <c r="F25" s="20">
        <f t="shared" si="0"/>
        <v>2120</v>
      </c>
      <c r="G25" s="20">
        <v>1000</v>
      </c>
    </row>
    <row r="26" spans="1:7" ht="28.15" customHeight="1">
      <c r="A26" s="28" t="s">
        <v>5</v>
      </c>
      <c r="B26" s="57">
        <v>2045</v>
      </c>
      <c r="C26" s="58" t="s">
        <v>264</v>
      </c>
      <c r="D26" s="16">
        <f t="shared" si="0"/>
        <v>0</v>
      </c>
      <c r="E26" s="20">
        <f t="shared" si="0"/>
        <v>2120</v>
      </c>
      <c r="F26" s="20">
        <f t="shared" si="0"/>
        <v>2120</v>
      </c>
      <c r="G26" s="20">
        <v>1000</v>
      </c>
    </row>
    <row r="27" spans="1:7">
      <c r="C27" s="56"/>
    </row>
    <row r="28" spans="1:7" ht="14.85" customHeight="1">
      <c r="A28" s="28" t="s">
        <v>7</v>
      </c>
      <c r="B28" s="57">
        <v>2402</v>
      </c>
      <c r="C28" s="58" t="s">
        <v>0</v>
      </c>
      <c r="D28" s="27"/>
      <c r="E28" s="27"/>
      <c r="F28" s="27"/>
      <c r="G28" s="27"/>
    </row>
    <row r="29" spans="1:7" ht="14.85" customHeight="1">
      <c r="B29" s="61">
        <v>1E-3</v>
      </c>
      <c r="C29" s="58" t="s">
        <v>8</v>
      </c>
      <c r="D29" s="27"/>
      <c r="E29" s="27"/>
      <c r="F29" s="27"/>
      <c r="G29" s="27"/>
    </row>
    <row r="30" spans="1:7" ht="14.85" customHeight="1">
      <c r="B30" s="29">
        <v>13</v>
      </c>
      <c r="C30" s="123" t="s">
        <v>9</v>
      </c>
      <c r="D30" s="27"/>
      <c r="E30" s="27"/>
      <c r="F30" s="27"/>
      <c r="G30" s="27"/>
    </row>
    <row r="31" spans="1:7" ht="14.85" customHeight="1">
      <c r="B31" s="29">
        <v>44</v>
      </c>
      <c r="C31" s="123" t="s">
        <v>10</v>
      </c>
      <c r="D31" s="27"/>
      <c r="E31" s="27"/>
      <c r="F31" s="27"/>
      <c r="G31" s="27"/>
    </row>
    <row r="32" spans="1:7" ht="14.85" customHeight="1">
      <c r="B32" s="60" t="s">
        <v>11</v>
      </c>
      <c r="C32" s="123" t="s">
        <v>12</v>
      </c>
      <c r="D32" s="2">
        <v>13695</v>
      </c>
      <c r="E32" s="2">
        <v>14043</v>
      </c>
      <c r="F32" s="2">
        <f>14043-1908</f>
        <v>12135</v>
      </c>
      <c r="G32" s="2">
        <v>7481</v>
      </c>
    </row>
    <row r="33" spans="1:7" ht="14.85" customHeight="1">
      <c r="B33" s="60" t="s">
        <v>396</v>
      </c>
      <c r="C33" s="123" t="s">
        <v>32</v>
      </c>
      <c r="D33" s="1">
        <v>0</v>
      </c>
      <c r="E33" s="2">
        <v>120162</v>
      </c>
      <c r="F33" s="2">
        <v>120162</v>
      </c>
      <c r="G33" s="15">
        <v>119669</v>
      </c>
    </row>
    <row r="34" spans="1:7" s="47" customFormat="1" ht="14.65" customHeight="1">
      <c r="A34" s="43"/>
      <c r="B34" s="44" t="s">
        <v>316</v>
      </c>
      <c r="C34" s="43" t="s">
        <v>312</v>
      </c>
      <c r="D34" s="1">
        <v>0</v>
      </c>
      <c r="E34" s="2">
        <v>1</v>
      </c>
      <c r="F34" s="2">
        <v>1</v>
      </c>
      <c r="G34" s="2">
        <v>374</v>
      </c>
    </row>
    <row r="35" spans="1:7" s="47" customFormat="1" ht="14.65" customHeight="1">
      <c r="A35" s="43"/>
      <c r="B35" s="44" t="s">
        <v>317</v>
      </c>
      <c r="C35" s="43" t="s">
        <v>313</v>
      </c>
      <c r="D35" s="1">
        <v>0</v>
      </c>
      <c r="E35" s="2">
        <v>1</v>
      </c>
      <c r="F35" s="2">
        <v>1</v>
      </c>
      <c r="G35" s="2">
        <v>6035</v>
      </c>
    </row>
    <row r="36" spans="1:7" ht="14.85" customHeight="1">
      <c r="B36" s="60" t="s">
        <v>13</v>
      </c>
      <c r="C36" s="43" t="s">
        <v>314</v>
      </c>
      <c r="D36" s="2">
        <v>63</v>
      </c>
      <c r="E36" s="2">
        <v>66</v>
      </c>
      <c r="F36" s="2">
        <v>66</v>
      </c>
      <c r="G36" s="2">
        <v>66</v>
      </c>
    </row>
    <row r="37" spans="1:7" ht="14.85" customHeight="1">
      <c r="B37" s="60" t="s">
        <v>15</v>
      </c>
      <c r="C37" s="123" t="s">
        <v>16</v>
      </c>
      <c r="D37" s="2">
        <v>189</v>
      </c>
      <c r="E37" s="2">
        <v>189</v>
      </c>
      <c r="F37" s="2">
        <v>189</v>
      </c>
      <c r="G37" s="2">
        <v>189</v>
      </c>
    </row>
    <row r="38" spans="1:7" ht="14.85" customHeight="1">
      <c r="A38" s="28" t="s">
        <v>5</v>
      </c>
      <c r="B38" s="29">
        <v>44</v>
      </c>
      <c r="C38" s="123" t="s">
        <v>10</v>
      </c>
      <c r="D38" s="4">
        <f t="shared" ref="D38:F38" si="1">SUM(D32:D37)</f>
        <v>13947</v>
      </c>
      <c r="E38" s="4">
        <f t="shared" si="1"/>
        <v>134462</v>
      </c>
      <c r="F38" s="4">
        <f t="shared" si="1"/>
        <v>132554</v>
      </c>
      <c r="G38" s="4">
        <v>133814</v>
      </c>
    </row>
    <row r="39" spans="1:7" ht="10.9" customHeight="1">
      <c r="C39" s="123"/>
      <c r="D39" s="27"/>
      <c r="E39" s="27"/>
      <c r="F39" s="27"/>
      <c r="G39" s="27"/>
    </row>
    <row r="40" spans="1:7" ht="14.45" customHeight="1">
      <c r="B40" s="29">
        <v>45</v>
      </c>
      <c r="C40" s="123" t="s">
        <v>283</v>
      </c>
      <c r="D40" s="27"/>
      <c r="E40" s="5"/>
      <c r="F40" s="27"/>
      <c r="G40" s="27"/>
    </row>
    <row r="41" spans="1:7" ht="14.45" customHeight="1">
      <c r="B41" s="60" t="s">
        <v>17</v>
      </c>
      <c r="C41" s="123" t="s">
        <v>12</v>
      </c>
      <c r="D41" s="7">
        <v>27196</v>
      </c>
      <c r="E41" s="7">
        <v>29268</v>
      </c>
      <c r="F41" s="7">
        <f>29268-2471</f>
        <v>26797</v>
      </c>
      <c r="G41" s="7">
        <v>16528</v>
      </c>
    </row>
    <row r="42" spans="1:7" s="47" customFormat="1" ht="14.65" customHeight="1">
      <c r="A42" s="43"/>
      <c r="B42" s="44" t="s">
        <v>318</v>
      </c>
      <c r="C42" s="43" t="s">
        <v>312</v>
      </c>
      <c r="D42" s="1">
        <v>0</v>
      </c>
      <c r="E42" s="2">
        <v>1</v>
      </c>
      <c r="F42" s="2">
        <v>1</v>
      </c>
      <c r="G42" s="2">
        <v>826</v>
      </c>
    </row>
    <row r="43" spans="1:7" s="47" customFormat="1" ht="14.65" customHeight="1">
      <c r="A43" s="43"/>
      <c r="B43" s="44" t="s">
        <v>319</v>
      </c>
      <c r="C43" s="43" t="s">
        <v>313</v>
      </c>
      <c r="D43" s="1">
        <v>0</v>
      </c>
      <c r="E43" s="2">
        <v>1</v>
      </c>
      <c r="F43" s="2">
        <v>1</v>
      </c>
      <c r="G43" s="2">
        <v>13438</v>
      </c>
    </row>
    <row r="44" spans="1:7" ht="14.45" customHeight="1">
      <c r="B44" s="60" t="s">
        <v>18</v>
      </c>
      <c r="C44" s="43" t="s">
        <v>314</v>
      </c>
      <c r="D44" s="2">
        <v>50</v>
      </c>
      <c r="E44" s="2">
        <v>50</v>
      </c>
      <c r="F44" s="2">
        <v>50</v>
      </c>
      <c r="G44" s="2">
        <v>50</v>
      </c>
    </row>
    <row r="45" spans="1:7" ht="14.45" customHeight="1">
      <c r="B45" s="60" t="s">
        <v>19</v>
      </c>
      <c r="C45" s="123" t="s">
        <v>16</v>
      </c>
      <c r="D45" s="13">
        <v>73</v>
      </c>
      <c r="E45" s="13">
        <v>73</v>
      </c>
      <c r="F45" s="13">
        <v>73</v>
      </c>
      <c r="G45" s="13">
        <v>73</v>
      </c>
    </row>
    <row r="46" spans="1:7" s="65" customFormat="1" ht="14.45" customHeight="1">
      <c r="A46" s="62" t="s">
        <v>5</v>
      </c>
      <c r="B46" s="63">
        <v>45</v>
      </c>
      <c r="C46" s="64" t="s">
        <v>283</v>
      </c>
      <c r="D46" s="13">
        <f t="shared" ref="D46:F46" si="2">SUM(D41:D45)</f>
        <v>27319</v>
      </c>
      <c r="E46" s="13">
        <f t="shared" si="2"/>
        <v>29393</v>
      </c>
      <c r="F46" s="13">
        <f t="shared" si="2"/>
        <v>26922</v>
      </c>
      <c r="G46" s="13">
        <v>30915</v>
      </c>
    </row>
    <row r="47" spans="1:7">
      <c r="C47" s="123"/>
      <c r="D47" s="8"/>
      <c r="E47" s="8"/>
      <c r="F47" s="27"/>
      <c r="G47" s="27"/>
    </row>
    <row r="48" spans="1:7" ht="13.9" customHeight="1">
      <c r="B48" s="29">
        <v>46</v>
      </c>
      <c r="C48" s="123" t="s">
        <v>284</v>
      </c>
      <c r="D48" s="5"/>
      <c r="E48" s="5"/>
      <c r="F48" s="27"/>
      <c r="G48" s="27"/>
    </row>
    <row r="49" spans="1:7" s="65" customFormat="1" ht="13.9" customHeight="1">
      <c r="A49" s="66"/>
      <c r="B49" s="67" t="s">
        <v>20</v>
      </c>
      <c r="C49" s="68" t="s">
        <v>12</v>
      </c>
      <c r="D49" s="13">
        <v>16218</v>
      </c>
      <c r="E49" s="13">
        <v>16589</v>
      </c>
      <c r="F49" s="13">
        <v>16589</v>
      </c>
      <c r="G49" s="13">
        <v>10762</v>
      </c>
    </row>
    <row r="50" spans="1:7" s="110" customFormat="1" ht="14.65" customHeight="1">
      <c r="A50" s="108"/>
      <c r="B50" s="109" t="s">
        <v>320</v>
      </c>
      <c r="C50" s="108" t="s">
        <v>312</v>
      </c>
      <c r="D50" s="1">
        <v>0</v>
      </c>
      <c r="E50" s="2">
        <v>1</v>
      </c>
      <c r="F50" s="2">
        <v>1</v>
      </c>
      <c r="G50" s="2">
        <v>538</v>
      </c>
    </row>
    <row r="51" spans="1:7" s="47" customFormat="1" ht="14.65" customHeight="1">
      <c r="A51" s="43"/>
      <c r="B51" s="44" t="s">
        <v>321</v>
      </c>
      <c r="C51" s="43" t="s">
        <v>313</v>
      </c>
      <c r="D51" s="1">
        <v>0</v>
      </c>
      <c r="E51" s="2">
        <v>1</v>
      </c>
      <c r="F51" s="2">
        <v>1</v>
      </c>
      <c r="G51" s="2">
        <v>8767</v>
      </c>
    </row>
    <row r="52" spans="1:7" ht="13.9" customHeight="1">
      <c r="B52" s="60" t="s">
        <v>21</v>
      </c>
      <c r="C52" s="43" t="s">
        <v>314</v>
      </c>
      <c r="D52" s="7">
        <v>50</v>
      </c>
      <c r="E52" s="7">
        <v>50</v>
      </c>
      <c r="F52" s="7">
        <v>50</v>
      </c>
      <c r="G52" s="7">
        <v>50</v>
      </c>
    </row>
    <row r="53" spans="1:7" ht="13.9" customHeight="1">
      <c r="B53" s="60" t="s">
        <v>22</v>
      </c>
      <c r="C53" s="123" t="s">
        <v>16</v>
      </c>
      <c r="D53" s="7">
        <v>72</v>
      </c>
      <c r="E53" s="7">
        <v>73</v>
      </c>
      <c r="F53" s="7">
        <v>73</v>
      </c>
      <c r="G53" s="7">
        <v>73</v>
      </c>
    </row>
    <row r="54" spans="1:7" ht="13.9" customHeight="1">
      <c r="A54" s="28" t="s">
        <v>5</v>
      </c>
      <c r="B54" s="29">
        <v>46</v>
      </c>
      <c r="C54" s="123" t="s">
        <v>284</v>
      </c>
      <c r="D54" s="4">
        <f t="shared" ref="D54:F54" si="3">SUM(D48:D53)</f>
        <v>16340</v>
      </c>
      <c r="E54" s="4">
        <f t="shared" si="3"/>
        <v>16714</v>
      </c>
      <c r="F54" s="4">
        <f t="shared" si="3"/>
        <v>16714</v>
      </c>
      <c r="G54" s="4">
        <v>20190</v>
      </c>
    </row>
    <row r="55" spans="1:7">
      <c r="C55" s="123"/>
      <c r="D55" s="8"/>
      <c r="E55" s="8"/>
      <c r="F55" s="27"/>
      <c r="G55" s="27"/>
    </row>
    <row r="56" spans="1:7" ht="15" customHeight="1">
      <c r="B56" s="29">
        <v>47</v>
      </c>
      <c r="C56" s="123" t="s">
        <v>285</v>
      </c>
      <c r="D56" s="5"/>
      <c r="E56" s="5"/>
      <c r="F56" s="27"/>
      <c r="G56" s="27"/>
    </row>
    <row r="57" spans="1:7" ht="15" customHeight="1">
      <c r="B57" s="60" t="s">
        <v>23</v>
      </c>
      <c r="C57" s="123" t="s">
        <v>12</v>
      </c>
      <c r="D57" s="2">
        <v>11465</v>
      </c>
      <c r="E57" s="2">
        <v>11344</v>
      </c>
      <c r="F57" s="2">
        <f>11344-740</f>
        <v>10604</v>
      </c>
      <c r="G57" s="2">
        <v>6156</v>
      </c>
    </row>
    <row r="58" spans="1:7" s="47" customFormat="1" ht="14.65" customHeight="1">
      <c r="A58" s="43"/>
      <c r="B58" s="44" t="s">
        <v>322</v>
      </c>
      <c r="C58" s="43" t="s">
        <v>312</v>
      </c>
      <c r="D58" s="1">
        <v>0</v>
      </c>
      <c r="E58" s="2">
        <v>1</v>
      </c>
      <c r="F58" s="2">
        <v>1</v>
      </c>
      <c r="G58" s="2">
        <v>308</v>
      </c>
    </row>
    <row r="59" spans="1:7" s="47" customFormat="1" ht="14.65" customHeight="1">
      <c r="A59" s="43"/>
      <c r="B59" s="44" t="s">
        <v>323</v>
      </c>
      <c r="C59" s="43" t="s">
        <v>313</v>
      </c>
      <c r="D59" s="1">
        <v>0</v>
      </c>
      <c r="E59" s="2">
        <v>1</v>
      </c>
      <c r="F59" s="2">
        <v>1</v>
      </c>
      <c r="G59" s="2">
        <v>5101</v>
      </c>
    </row>
    <row r="60" spans="1:7" ht="15" customHeight="1">
      <c r="B60" s="60" t="s">
        <v>24</v>
      </c>
      <c r="C60" s="43" t="s">
        <v>314</v>
      </c>
      <c r="D60" s="7">
        <v>50</v>
      </c>
      <c r="E60" s="7">
        <v>50</v>
      </c>
      <c r="F60" s="7">
        <v>50</v>
      </c>
      <c r="G60" s="7">
        <v>50</v>
      </c>
    </row>
    <row r="61" spans="1:7" ht="15" customHeight="1">
      <c r="B61" s="60" t="s">
        <v>25</v>
      </c>
      <c r="C61" s="123" t="s">
        <v>16</v>
      </c>
      <c r="D61" s="7">
        <v>73</v>
      </c>
      <c r="E61" s="7">
        <v>73</v>
      </c>
      <c r="F61" s="7">
        <v>73</v>
      </c>
      <c r="G61" s="7">
        <v>73</v>
      </c>
    </row>
    <row r="62" spans="1:7" ht="15" customHeight="1">
      <c r="A62" s="28" t="s">
        <v>5</v>
      </c>
      <c r="B62" s="29">
        <v>47</v>
      </c>
      <c r="C62" s="123" t="s">
        <v>285</v>
      </c>
      <c r="D62" s="4">
        <f t="shared" ref="D62:F62" si="4">SUM(D57:D61)</f>
        <v>11588</v>
      </c>
      <c r="E62" s="4">
        <f t="shared" si="4"/>
        <v>11469</v>
      </c>
      <c r="F62" s="4">
        <f t="shared" si="4"/>
        <v>10729</v>
      </c>
      <c r="G62" s="4">
        <v>11688</v>
      </c>
    </row>
    <row r="63" spans="1:7" ht="15" customHeight="1">
      <c r="C63" s="123"/>
      <c r="D63" s="8"/>
      <c r="E63" s="8"/>
      <c r="F63" s="27"/>
      <c r="G63" s="27"/>
    </row>
    <row r="64" spans="1:7" ht="15" customHeight="1">
      <c r="B64" s="29">
        <v>48</v>
      </c>
      <c r="C64" s="123" t="s">
        <v>286</v>
      </c>
      <c r="D64" s="5"/>
      <c r="E64" s="5"/>
      <c r="F64" s="27"/>
      <c r="G64" s="27"/>
    </row>
    <row r="65" spans="1:7" ht="15" customHeight="1">
      <c r="B65" s="60" t="s">
        <v>26</v>
      </c>
      <c r="C65" s="123" t="s">
        <v>12</v>
      </c>
      <c r="D65" s="7">
        <v>13132</v>
      </c>
      <c r="E65" s="7">
        <v>12626</v>
      </c>
      <c r="F65" s="7">
        <f>12626-380</f>
        <v>12246</v>
      </c>
      <c r="G65" s="7">
        <v>7442</v>
      </c>
    </row>
    <row r="66" spans="1:7" s="47" customFormat="1" ht="14.65" customHeight="1">
      <c r="A66" s="43"/>
      <c r="B66" s="44" t="s">
        <v>324</v>
      </c>
      <c r="C66" s="43" t="s">
        <v>312</v>
      </c>
      <c r="D66" s="1">
        <v>0</v>
      </c>
      <c r="E66" s="2">
        <v>1</v>
      </c>
      <c r="F66" s="2">
        <v>1</v>
      </c>
      <c r="G66" s="2">
        <v>372</v>
      </c>
    </row>
    <row r="67" spans="1:7" s="47" customFormat="1" ht="14.65" customHeight="1">
      <c r="A67" s="43"/>
      <c r="B67" s="44" t="s">
        <v>325</v>
      </c>
      <c r="C67" s="43" t="s">
        <v>313</v>
      </c>
      <c r="D67" s="1">
        <v>0</v>
      </c>
      <c r="E67" s="2">
        <v>1</v>
      </c>
      <c r="F67" s="2">
        <v>1</v>
      </c>
      <c r="G67" s="2">
        <v>6035</v>
      </c>
    </row>
    <row r="68" spans="1:7" ht="15" customHeight="1">
      <c r="B68" s="60" t="s">
        <v>27</v>
      </c>
      <c r="C68" s="43" t="s">
        <v>314</v>
      </c>
      <c r="D68" s="7">
        <v>50</v>
      </c>
      <c r="E68" s="7">
        <v>50</v>
      </c>
      <c r="F68" s="7">
        <v>50</v>
      </c>
      <c r="G68" s="7">
        <v>50</v>
      </c>
    </row>
    <row r="69" spans="1:7" ht="15" customHeight="1">
      <c r="B69" s="60" t="s">
        <v>28</v>
      </c>
      <c r="C69" s="123" t="s">
        <v>16</v>
      </c>
      <c r="D69" s="13">
        <v>73</v>
      </c>
      <c r="E69" s="13">
        <v>73</v>
      </c>
      <c r="F69" s="13">
        <v>73</v>
      </c>
      <c r="G69" s="13">
        <v>73</v>
      </c>
    </row>
    <row r="70" spans="1:7" ht="15" customHeight="1">
      <c r="A70" s="28" t="s">
        <v>5</v>
      </c>
      <c r="B70" s="29">
        <v>48</v>
      </c>
      <c r="C70" s="123" t="s">
        <v>286</v>
      </c>
      <c r="D70" s="13">
        <f t="shared" ref="D70:F70" si="5">SUM(D65:D69)</f>
        <v>13255</v>
      </c>
      <c r="E70" s="13">
        <f t="shared" si="5"/>
        <v>12751</v>
      </c>
      <c r="F70" s="13">
        <f t="shared" si="5"/>
        <v>12371</v>
      </c>
      <c r="G70" s="13">
        <v>13972</v>
      </c>
    </row>
    <row r="71" spans="1:7" ht="15" customHeight="1">
      <c r="C71" s="123"/>
      <c r="D71" s="2"/>
      <c r="E71" s="2"/>
      <c r="F71" s="2"/>
      <c r="G71" s="2"/>
    </row>
    <row r="72" spans="1:7" ht="15" customHeight="1">
      <c r="B72" s="29">
        <v>49</v>
      </c>
      <c r="C72" s="123" t="s">
        <v>292</v>
      </c>
      <c r="D72" s="5"/>
      <c r="E72" s="5"/>
      <c r="F72" s="27"/>
      <c r="G72" s="27"/>
    </row>
    <row r="73" spans="1:7" ht="15" customHeight="1">
      <c r="B73" s="60" t="s">
        <v>400</v>
      </c>
      <c r="C73" s="123" t="s">
        <v>12</v>
      </c>
      <c r="D73" s="6">
        <v>0</v>
      </c>
      <c r="E73" s="7">
        <v>1</v>
      </c>
      <c r="F73" s="7">
        <v>1</v>
      </c>
      <c r="G73" s="6">
        <v>0</v>
      </c>
    </row>
    <row r="74" spans="1:7" ht="15" customHeight="1">
      <c r="B74" s="60" t="s">
        <v>401</v>
      </c>
      <c r="C74" s="43" t="s">
        <v>314</v>
      </c>
      <c r="D74" s="6">
        <v>0</v>
      </c>
      <c r="E74" s="7">
        <v>1</v>
      </c>
      <c r="F74" s="7">
        <v>1</v>
      </c>
      <c r="G74" s="6">
        <v>0</v>
      </c>
    </row>
    <row r="75" spans="1:7" ht="15" customHeight="1">
      <c r="B75" s="60" t="s">
        <v>402</v>
      </c>
      <c r="C75" s="123" t="s">
        <v>16</v>
      </c>
      <c r="D75" s="12">
        <v>0</v>
      </c>
      <c r="E75" s="13">
        <v>1</v>
      </c>
      <c r="F75" s="13">
        <v>1</v>
      </c>
      <c r="G75" s="12">
        <v>0</v>
      </c>
    </row>
    <row r="76" spans="1:7" ht="15" customHeight="1">
      <c r="A76" s="28" t="s">
        <v>5</v>
      </c>
      <c r="B76" s="29">
        <v>49</v>
      </c>
      <c r="C76" s="123" t="s">
        <v>292</v>
      </c>
      <c r="D76" s="12">
        <f t="shared" ref="D76:F76" si="6">SUM(D73:D75)</f>
        <v>0</v>
      </c>
      <c r="E76" s="13">
        <f t="shared" si="6"/>
        <v>3</v>
      </c>
      <c r="F76" s="13">
        <f t="shared" si="6"/>
        <v>3</v>
      </c>
      <c r="G76" s="12">
        <v>0</v>
      </c>
    </row>
    <row r="77" spans="1:7" ht="15" customHeight="1">
      <c r="C77" s="123"/>
      <c r="D77" s="2"/>
      <c r="E77" s="2"/>
      <c r="F77" s="2"/>
      <c r="G77" s="2"/>
    </row>
    <row r="78" spans="1:7" ht="15" customHeight="1">
      <c r="B78" s="29">
        <v>50</v>
      </c>
      <c r="C78" s="123" t="s">
        <v>293</v>
      </c>
      <c r="D78" s="5"/>
      <c r="E78" s="5"/>
      <c r="F78" s="27"/>
      <c r="G78" s="27"/>
    </row>
    <row r="79" spans="1:7" ht="15" customHeight="1">
      <c r="B79" s="60" t="s">
        <v>403</v>
      </c>
      <c r="C79" s="123" t="s">
        <v>12</v>
      </c>
      <c r="D79" s="6">
        <v>0</v>
      </c>
      <c r="E79" s="7">
        <v>1</v>
      </c>
      <c r="F79" s="7">
        <v>1</v>
      </c>
      <c r="G79" s="6">
        <v>0</v>
      </c>
    </row>
    <row r="80" spans="1:7" ht="15" customHeight="1">
      <c r="B80" s="60" t="s">
        <v>404</v>
      </c>
      <c r="C80" s="43" t="s">
        <v>314</v>
      </c>
      <c r="D80" s="6">
        <v>0</v>
      </c>
      <c r="E80" s="7">
        <v>1</v>
      </c>
      <c r="F80" s="7">
        <v>1</v>
      </c>
      <c r="G80" s="6">
        <v>0</v>
      </c>
    </row>
    <row r="81" spans="1:7" ht="15" customHeight="1">
      <c r="B81" s="60" t="s">
        <v>405</v>
      </c>
      <c r="C81" s="123" t="s">
        <v>16</v>
      </c>
      <c r="D81" s="12">
        <v>0</v>
      </c>
      <c r="E81" s="13">
        <v>1</v>
      </c>
      <c r="F81" s="13">
        <v>1</v>
      </c>
      <c r="G81" s="12">
        <v>0</v>
      </c>
    </row>
    <row r="82" spans="1:7" ht="15" customHeight="1">
      <c r="A82" s="28" t="s">
        <v>5</v>
      </c>
      <c r="B82" s="29">
        <v>50</v>
      </c>
      <c r="C82" s="123" t="s">
        <v>293</v>
      </c>
      <c r="D82" s="12">
        <f t="shared" ref="D82:F82" si="7">SUM(D79:D81)</f>
        <v>0</v>
      </c>
      <c r="E82" s="13">
        <f t="shared" si="7"/>
        <v>3</v>
      </c>
      <c r="F82" s="13">
        <f t="shared" si="7"/>
        <v>3</v>
      </c>
      <c r="G82" s="12">
        <v>0</v>
      </c>
    </row>
    <row r="83" spans="1:7" ht="15" customHeight="1">
      <c r="A83" s="28" t="s">
        <v>5</v>
      </c>
      <c r="B83" s="29">
        <v>13</v>
      </c>
      <c r="C83" s="123" t="s">
        <v>9</v>
      </c>
      <c r="D83" s="4">
        <f t="shared" ref="D83:F83" si="8">D70+D62+D54+D46+D38+D76+D82</f>
        <v>82449</v>
      </c>
      <c r="E83" s="4">
        <f t="shared" si="8"/>
        <v>204795</v>
      </c>
      <c r="F83" s="4">
        <f t="shared" si="8"/>
        <v>199296</v>
      </c>
      <c r="G83" s="4">
        <v>210579</v>
      </c>
    </row>
    <row r="84" spans="1:7" ht="15" customHeight="1">
      <c r="A84" s="28" t="s">
        <v>5</v>
      </c>
      <c r="B84" s="61">
        <v>1E-3</v>
      </c>
      <c r="C84" s="58" t="s">
        <v>8</v>
      </c>
      <c r="D84" s="10">
        <f t="shared" ref="D84:F84" si="9">D83</f>
        <v>82449</v>
      </c>
      <c r="E84" s="10">
        <f t="shared" si="9"/>
        <v>204795</v>
      </c>
      <c r="F84" s="10">
        <f t="shared" si="9"/>
        <v>199296</v>
      </c>
      <c r="G84" s="10">
        <v>210579</v>
      </c>
    </row>
    <row r="85" spans="1:7" ht="9" customHeight="1">
      <c r="B85" s="70"/>
      <c r="C85" s="58"/>
      <c r="D85" s="27"/>
      <c r="E85" s="27"/>
      <c r="F85" s="27"/>
      <c r="G85" s="27"/>
    </row>
    <row r="86" spans="1:7" ht="15" customHeight="1">
      <c r="B86" s="61">
        <v>0.10199999999999999</v>
      </c>
      <c r="C86" s="58" t="s">
        <v>29</v>
      </c>
      <c r="D86" s="27"/>
      <c r="E86" s="27"/>
      <c r="F86" s="27"/>
      <c r="G86" s="27"/>
    </row>
    <row r="87" spans="1:7" ht="15" customHeight="1">
      <c r="B87" s="29">
        <v>13</v>
      </c>
      <c r="C87" s="123" t="s">
        <v>9</v>
      </c>
      <c r="D87" s="27"/>
      <c r="E87" s="27"/>
      <c r="F87" s="27"/>
      <c r="G87" s="27"/>
    </row>
    <row r="88" spans="1:7" ht="15" customHeight="1">
      <c r="B88" s="29">
        <v>46</v>
      </c>
      <c r="C88" s="123" t="s">
        <v>284</v>
      </c>
      <c r="D88" s="27"/>
      <c r="E88" s="27"/>
      <c r="F88" s="27"/>
      <c r="G88" s="27"/>
    </row>
    <row r="89" spans="1:7" ht="15" customHeight="1">
      <c r="B89" s="60" t="s">
        <v>194</v>
      </c>
      <c r="C89" s="123" t="s">
        <v>32</v>
      </c>
      <c r="D89" s="20">
        <v>1451</v>
      </c>
      <c r="E89" s="20">
        <v>1451</v>
      </c>
      <c r="F89" s="20">
        <v>1451</v>
      </c>
      <c r="G89" s="13">
        <v>1577</v>
      </c>
    </row>
    <row r="90" spans="1:7" s="65" customFormat="1" ht="15" customHeight="1">
      <c r="A90" s="62" t="s">
        <v>5</v>
      </c>
      <c r="B90" s="63">
        <v>46</v>
      </c>
      <c r="C90" s="64" t="s">
        <v>284</v>
      </c>
      <c r="D90" s="13">
        <f t="shared" ref="D90:F90" si="10">SUM(D89:D89)</f>
        <v>1451</v>
      </c>
      <c r="E90" s="13">
        <f t="shared" si="10"/>
        <v>1451</v>
      </c>
      <c r="F90" s="13">
        <f t="shared" si="10"/>
        <v>1451</v>
      </c>
      <c r="G90" s="13">
        <v>1577</v>
      </c>
    </row>
    <row r="91" spans="1:7" s="65" customFormat="1" ht="10.5" customHeight="1">
      <c r="A91" s="62"/>
      <c r="B91" s="63"/>
      <c r="C91" s="64"/>
      <c r="D91" s="36"/>
      <c r="E91" s="36"/>
      <c r="F91" s="36"/>
      <c r="G91" s="36"/>
    </row>
    <row r="92" spans="1:7" ht="15" customHeight="1">
      <c r="B92" s="29">
        <v>47</v>
      </c>
      <c r="C92" s="123" t="s">
        <v>285</v>
      </c>
      <c r="D92" s="27"/>
      <c r="E92" s="27"/>
      <c r="F92" s="27"/>
      <c r="G92" s="27"/>
    </row>
    <row r="93" spans="1:7" ht="15" customHeight="1">
      <c r="B93" s="60" t="s">
        <v>253</v>
      </c>
      <c r="C93" s="123" t="s">
        <v>32</v>
      </c>
      <c r="D93" s="7">
        <v>1771</v>
      </c>
      <c r="E93" s="7">
        <v>1779</v>
      </c>
      <c r="F93" s="7">
        <v>1779</v>
      </c>
      <c r="G93" s="2">
        <v>1779</v>
      </c>
    </row>
    <row r="94" spans="1:7" ht="15" customHeight="1">
      <c r="A94" s="28" t="s">
        <v>5</v>
      </c>
      <c r="B94" s="29">
        <v>47</v>
      </c>
      <c r="C94" s="123" t="s">
        <v>285</v>
      </c>
      <c r="D94" s="4">
        <f t="shared" ref="D94:E94" si="11">SUM(D93:D93)</f>
        <v>1771</v>
      </c>
      <c r="E94" s="4">
        <f t="shared" si="11"/>
        <v>1779</v>
      </c>
      <c r="F94" s="4">
        <f t="shared" ref="F94" si="12">SUM(F93:F93)</f>
        <v>1779</v>
      </c>
      <c r="G94" s="4">
        <v>1779</v>
      </c>
    </row>
    <row r="95" spans="1:7" s="65" customFormat="1" ht="15" customHeight="1">
      <c r="A95" s="66" t="s">
        <v>5</v>
      </c>
      <c r="B95" s="71">
        <v>13</v>
      </c>
      <c r="C95" s="68" t="s">
        <v>9</v>
      </c>
      <c r="D95" s="4">
        <f t="shared" ref="D95:E95" si="13">D94+D90</f>
        <v>3222</v>
      </c>
      <c r="E95" s="4">
        <f t="shared" si="13"/>
        <v>3230</v>
      </c>
      <c r="F95" s="4">
        <f t="shared" ref="F95" si="14">F94+F90</f>
        <v>3230</v>
      </c>
      <c r="G95" s="4">
        <v>3356</v>
      </c>
    </row>
    <row r="96" spans="1:7" s="65" customFormat="1" ht="6" customHeight="1">
      <c r="A96" s="62"/>
      <c r="B96" s="63"/>
      <c r="C96" s="64"/>
      <c r="D96" s="2"/>
      <c r="E96" s="2"/>
      <c r="F96" s="2"/>
      <c r="G96" s="2"/>
    </row>
    <row r="97" spans="1:7" ht="15" customHeight="1">
      <c r="B97" s="29">
        <v>39</v>
      </c>
      <c r="C97" s="123" t="s">
        <v>272</v>
      </c>
      <c r="D97" s="1"/>
      <c r="E97" s="2"/>
      <c r="F97" s="2"/>
      <c r="G97" s="2"/>
    </row>
    <row r="98" spans="1:7" ht="28.9" customHeight="1">
      <c r="B98" s="29" t="s">
        <v>273</v>
      </c>
      <c r="C98" s="123" t="s">
        <v>274</v>
      </c>
      <c r="D98" s="2">
        <v>86600</v>
      </c>
      <c r="E98" s="2">
        <v>166320</v>
      </c>
      <c r="F98" s="2">
        <f>166320-87920</f>
        <v>78400</v>
      </c>
      <c r="G98" s="2">
        <v>201600</v>
      </c>
    </row>
    <row r="99" spans="1:7" ht="28.9" customHeight="1">
      <c r="B99" s="29" t="s">
        <v>277</v>
      </c>
      <c r="C99" s="123" t="s">
        <v>278</v>
      </c>
      <c r="D99" s="13">
        <v>9622</v>
      </c>
      <c r="E99" s="13">
        <v>4891</v>
      </c>
      <c r="F99" s="13">
        <v>4891</v>
      </c>
      <c r="G99" s="13">
        <v>4000</v>
      </c>
    </row>
    <row r="100" spans="1:7" ht="15" customHeight="1">
      <c r="A100" s="28" t="s">
        <v>5</v>
      </c>
      <c r="B100" s="29">
        <v>39</v>
      </c>
      <c r="C100" s="123" t="s">
        <v>272</v>
      </c>
      <c r="D100" s="2">
        <f t="shared" ref="D100:E100" si="15">SUM(D98:D99)</f>
        <v>96222</v>
      </c>
      <c r="E100" s="2">
        <f t="shared" si="15"/>
        <v>171211</v>
      </c>
      <c r="F100" s="2">
        <f t="shared" ref="F100" si="16">SUM(F98:F99)</f>
        <v>83291</v>
      </c>
      <c r="G100" s="2">
        <v>205600</v>
      </c>
    </row>
    <row r="101" spans="1:7" ht="15" customHeight="1">
      <c r="A101" s="28" t="s">
        <v>5</v>
      </c>
      <c r="B101" s="61">
        <v>0.10199999999999999</v>
      </c>
      <c r="C101" s="58" t="s">
        <v>29</v>
      </c>
      <c r="D101" s="4">
        <f t="shared" ref="D101:F101" si="17">D95+D100</f>
        <v>99444</v>
      </c>
      <c r="E101" s="4">
        <f t="shared" si="17"/>
        <v>174441</v>
      </c>
      <c r="F101" s="4">
        <f t="shared" si="17"/>
        <v>86521</v>
      </c>
      <c r="G101" s="4">
        <v>208956</v>
      </c>
    </row>
    <row r="102" spans="1:7" ht="12.75" customHeight="1">
      <c r="B102" s="61"/>
      <c r="C102" s="58"/>
      <c r="D102" s="2"/>
      <c r="E102" s="2"/>
      <c r="F102" s="2"/>
      <c r="G102" s="2"/>
    </row>
    <row r="103" spans="1:7" ht="15" customHeight="1">
      <c r="B103" s="72" t="s">
        <v>302</v>
      </c>
      <c r="C103" s="73" t="s">
        <v>303</v>
      </c>
      <c r="D103" s="2"/>
      <c r="E103" s="2"/>
      <c r="F103" s="2"/>
      <c r="G103" s="2"/>
    </row>
    <row r="104" spans="1:7" ht="15" customHeight="1">
      <c r="B104" s="29">
        <v>39</v>
      </c>
      <c r="C104" s="123" t="s">
        <v>272</v>
      </c>
      <c r="D104" s="1"/>
      <c r="E104" s="2"/>
      <c r="F104" s="2"/>
      <c r="G104" s="2"/>
    </row>
    <row r="105" spans="1:7" ht="28.9" customHeight="1">
      <c r="B105" s="29" t="s">
        <v>304</v>
      </c>
      <c r="C105" s="123" t="s">
        <v>274</v>
      </c>
      <c r="D105" s="1">
        <v>0</v>
      </c>
      <c r="E105" s="2">
        <v>1</v>
      </c>
      <c r="F105" s="2">
        <v>1</v>
      </c>
      <c r="G105" s="2">
        <v>25200</v>
      </c>
    </row>
    <row r="106" spans="1:7" ht="28.9" customHeight="1">
      <c r="B106" s="29" t="s">
        <v>305</v>
      </c>
      <c r="C106" s="123" t="s">
        <v>278</v>
      </c>
      <c r="D106" s="12">
        <v>0</v>
      </c>
      <c r="E106" s="13">
        <v>1</v>
      </c>
      <c r="F106" s="13">
        <v>1</v>
      </c>
      <c r="G106" s="13">
        <v>1</v>
      </c>
    </row>
    <row r="107" spans="1:7" ht="15" customHeight="1">
      <c r="A107" s="28" t="s">
        <v>5</v>
      </c>
      <c r="B107" s="29">
        <v>39</v>
      </c>
      <c r="C107" s="123" t="s">
        <v>272</v>
      </c>
      <c r="D107" s="1">
        <f t="shared" ref="D107:F107" si="18">SUM(D105:D106)</f>
        <v>0</v>
      </c>
      <c r="E107" s="2">
        <f t="shared" si="18"/>
        <v>2</v>
      </c>
      <c r="F107" s="2">
        <f t="shared" si="18"/>
        <v>2</v>
      </c>
      <c r="G107" s="2">
        <v>25201</v>
      </c>
    </row>
    <row r="108" spans="1:7" ht="15" customHeight="1">
      <c r="A108" s="28" t="s">
        <v>5</v>
      </c>
      <c r="B108" s="72" t="s">
        <v>302</v>
      </c>
      <c r="C108" s="73" t="s">
        <v>303</v>
      </c>
      <c r="D108" s="3">
        <f t="shared" ref="D108:F108" si="19">D107</f>
        <v>0</v>
      </c>
      <c r="E108" s="4">
        <f t="shared" si="19"/>
        <v>2</v>
      </c>
      <c r="F108" s="4">
        <f t="shared" si="19"/>
        <v>2</v>
      </c>
      <c r="G108" s="4">
        <v>25201</v>
      </c>
    </row>
    <row r="109" spans="1:7" ht="12.75" customHeight="1">
      <c r="B109" s="61"/>
      <c r="C109" s="58"/>
      <c r="D109" s="2"/>
      <c r="E109" s="2"/>
      <c r="F109" s="2"/>
      <c r="G109" s="2"/>
    </row>
    <row r="110" spans="1:7" ht="15" customHeight="1">
      <c r="B110" s="72" t="s">
        <v>306</v>
      </c>
      <c r="C110" s="73" t="s">
        <v>307</v>
      </c>
      <c r="D110" s="2"/>
      <c r="E110" s="2"/>
      <c r="F110" s="2"/>
      <c r="G110" s="2"/>
    </row>
    <row r="111" spans="1:7" ht="15" customHeight="1">
      <c r="B111" s="29">
        <v>39</v>
      </c>
      <c r="C111" s="123" t="s">
        <v>272</v>
      </c>
      <c r="D111" s="1"/>
      <c r="E111" s="2"/>
      <c r="F111" s="2"/>
      <c r="G111" s="2"/>
    </row>
    <row r="112" spans="1:7" ht="28.9" customHeight="1">
      <c r="B112" s="29" t="s">
        <v>308</v>
      </c>
      <c r="C112" s="123" t="s">
        <v>274</v>
      </c>
      <c r="D112" s="1">
        <v>0</v>
      </c>
      <c r="E112" s="2">
        <v>85679</v>
      </c>
      <c r="F112" s="2">
        <f>85679-62580</f>
        <v>23099</v>
      </c>
      <c r="G112" s="2">
        <v>25200</v>
      </c>
    </row>
    <row r="113" spans="1:7" ht="28.9" customHeight="1">
      <c r="B113" s="29" t="s">
        <v>309</v>
      </c>
      <c r="C113" s="123" t="s">
        <v>278</v>
      </c>
      <c r="D113" s="12">
        <v>0</v>
      </c>
      <c r="E113" s="13">
        <v>1</v>
      </c>
      <c r="F113" s="13">
        <v>1</v>
      </c>
      <c r="G113" s="13">
        <v>1</v>
      </c>
    </row>
    <row r="114" spans="1:7" ht="15" customHeight="1">
      <c r="A114" s="28" t="s">
        <v>5</v>
      </c>
      <c r="B114" s="29">
        <v>39</v>
      </c>
      <c r="C114" s="123" t="s">
        <v>272</v>
      </c>
      <c r="D114" s="1">
        <f t="shared" ref="D114:F114" si="20">SUM(D112:D113)</f>
        <v>0</v>
      </c>
      <c r="E114" s="2">
        <f>SUM(E112:E113)</f>
        <v>85680</v>
      </c>
      <c r="F114" s="2">
        <f t="shared" si="20"/>
        <v>23100</v>
      </c>
      <c r="G114" s="2">
        <v>25201</v>
      </c>
    </row>
    <row r="115" spans="1:7">
      <c r="A115" s="28" t="s">
        <v>5</v>
      </c>
      <c r="B115" s="72" t="s">
        <v>306</v>
      </c>
      <c r="C115" s="73" t="s">
        <v>307</v>
      </c>
      <c r="D115" s="3">
        <f t="shared" ref="D115:F115" si="21">D114</f>
        <v>0</v>
      </c>
      <c r="E115" s="4">
        <f t="shared" si="21"/>
        <v>85680</v>
      </c>
      <c r="F115" s="4">
        <f t="shared" si="21"/>
        <v>23100</v>
      </c>
      <c r="G115" s="4">
        <v>25201</v>
      </c>
    </row>
    <row r="116" spans="1:7" ht="11.25" customHeight="1">
      <c r="A116" s="74"/>
      <c r="B116" s="75"/>
      <c r="C116" s="73"/>
      <c r="D116" s="27"/>
      <c r="E116" s="27"/>
      <c r="F116" s="27"/>
      <c r="G116" s="27"/>
    </row>
    <row r="117" spans="1:7" ht="15" customHeight="1">
      <c r="B117" s="76">
        <v>0.8</v>
      </c>
      <c r="C117" s="58" t="s">
        <v>30</v>
      </c>
      <c r="D117" s="27"/>
      <c r="E117" s="27"/>
      <c r="F117" s="27"/>
      <c r="G117" s="27"/>
    </row>
    <row r="118" spans="1:7" ht="15" customHeight="1">
      <c r="B118" s="77" t="s">
        <v>256</v>
      </c>
      <c r="C118" s="123" t="s">
        <v>10</v>
      </c>
      <c r="D118" s="27"/>
      <c r="E118" s="27"/>
      <c r="F118" s="27"/>
      <c r="G118" s="27"/>
    </row>
    <row r="119" spans="1:7" ht="15" customHeight="1">
      <c r="B119" s="78" t="s">
        <v>31</v>
      </c>
      <c r="C119" s="123" t="s">
        <v>32</v>
      </c>
      <c r="D119" s="15">
        <v>120460</v>
      </c>
      <c r="E119" s="15">
        <v>1</v>
      </c>
      <c r="F119" s="15">
        <v>1</v>
      </c>
      <c r="G119" s="11">
        <v>0</v>
      </c>
    </row>
    <row r="120" spans="1:7" ht="15" customHeight="1">
      <c r="A120" s="28" t="s">
        <v>5</v>
      </c>
      <c r="B120" s="77" t="s">
        <v>256</v>
      </c>
      <c r="C120" s="123" t="s">
        <v>10</v>
      </c>
      <c r="D120" s="10">
        <f t="shared" ref="D120" si="22">SUM(D119:D119)</f>
        <v>120460</v>
      </c>
      <c r="E120" s="10">
        <f>SUM(E119:E119)</f>
        <v>1</v>
      </c>
      <c r="F120" s="10">
        <f>SUM(F119:F119)</f>
        <v>1</v>
      </c>
      <c r="G120" s="9">
        <v>0</v>
      </c>
    </row>
    <row r="121" spans="1:7" ht="15" customHeight="1">
      <c r="A121" s="28" t="s">
        <v>5</v>
      </c>
      <c r="B121" s="76">
        <v>0.8</v>
      </c>
      <c r="C121" s="58" t="s">
        <v>30</v>
      </c>
      <c r="D121" s="4">
        <f t="shared" ref="D121:F121" si="23">D120</f>
        <v>120460</v>
      </c>
      <c r="E121" s="4">
        <f t="shared" si="23"/>
        <v>1</v>
      </c>
      <c r="F121" s="4">
        <f t="shared" si="23"/>
        <v>1</v>
      </c>
      <c r="G121" s="3">
        <v>0</v>
      </c>
    </row>
    <row r="122" spans="1:7" ht="15" customHeight="1">
      <c r="A122" s="62" t="s">
        <v>5</v>
      </c>
      <c r="B122" s="114">
        <v>2402</v>
      </c>
      <c r="C122" s="102" t="s">
        <v>0</v>
      </c>
      <c r="D122" s="10">
        <f t="shared" ref="D122" si="24">D121+D101+D84+D108+D115</f>
        <v>302353</v>
      </c>
      <c r="E122" s="10">
        <f>E121+E101+E84+E108+E115</f>
        <v>464919</v>
      </c>
      <c r="F122" s="10">
        <f>F121+F101+F84+F108+F115</f>
        <v>308920</v>
      </c>
      <c r="G122" s="10">
        <v>469937</v>
      </c>
    </row>
    <row r="123" spans="1:7">
      <c r="B123" s="57"/>
      <c r="C123" s="58"/>
      <c r="D123" s="27"/>
      <c r="E123" s="27"/>
      <c r="F123" s="27"/>
      <c r="G123" s="27"/>
    </row>
    <row r="124" spans="1:7" ht="15" customHeight="1">
      <c r="A124" s="28" t="s">
        <v>7</v>
      </c>
      <c r="B124" s="57">
        <v>2406</v>
      </c>
      <c r="C124" s="58" t="s">
        <v>248</v>
      </c>
      <c r="D124" s="27"/>
      <c r="E124" s="27"/>
      <c r="F124" s="27"/>
      <c r="G124" s="27"/>
    </row>
    <row r="125" spans="1:7" ht="15" customHeight="1">
      <c r="B125" s="79">
        <v>1</v>
      </c>
      <c r="C125" s="123" t="s">
        <v>125</v>
      </c>
      <c r="D125" s="27"/>
      <c r="E125" s="27"/>
      <c r="F125" s="27"/>
      <c r="G125" s="27"/>
    </row>
    <row r="126" spans="1:7" ht="15" customHeight="1">
      <c r="B126" s="61">
        <v>1.0009999999999999</v>
      </c>
      <c r="C126" s="58" t="s">
        <v>8</v>
      </c>
      <c r="D126" s="27"/>
      <c r="E126" s="27"/>
      <c r="F126" s="27"/>
      <c r="G126" s="27"/>
    </row>
    <row r="127" spans="1:7" ht="15" customHeight="1">
      <c r="B127" s="80">
        <v>0.45</v>
      </c>
      <c r="C127" s="123" t="s">
        <v>283</v>
      </c>
      <c r="D127" s="27"/>
      <c r="E127" s="27"/>
      <c r="F127" s="27"/>
      <c r="G127" s="27"/>
    </row>
    <row r="128" spans="1:7" ht="15" customHeight="1">
      <c r="B128" s="60" t="s">
        <v>41</v>
      </c>
      <c r="C128" s="123" t="s">
        <v>12</v>
      </c>
      <c r="D128" s="126">
        <v>139305</v>
      </c>
      <c r="E128" s="2">
        <v>84026</v>
      </c>
      <c r="F128" s="2">
        <f>84026-2725</f>
        <v>81301</v>
      </c>
      <c r="G128" s="2">
        <v>48808</v>
      </c>
    </row>
    <row r="129" spans="1:7" ht="15" customHeight="1">
      <c r="A129" s="62"/>
      <c r="B129" s="107" t="s">
        <v>110</v>
      </c>
      <c r="C129" s="64" t="s">
        <v>32</v>
      </c>
      <c r="D129" s="15">
        <v>811</v>
      </c>
      <c r="E129" s="2">
        <v>820</v>
      </c>
      <c r="F129" s="2">
        <v>820</v>
      </c>
      <c r="G129" s="2">
        <v>803</v>
      </c>
    </row>
    <row r="130" spans="1:7" s="110" customFormat="1" ht="15" customHeight="1">
      <c r="A130" s="108"/>
      <c r="B130" s="109" t="s">
        <v>326</v>
      </c>
      <c r="C130" s="108" t="s">
        <v>312</v>
      </c>
      <c r="D130" s="1">
        <v>0</v>
      </c>
      <c r="E130" s="2">
        <v>1</v>
      </c>
      <c r="F130" s="2">
        <v>1</v>
      </c>
      <c r="G130" s="2">
        <v>2440</v>
      </c>
    </row>
    <row r="131" spans="1:7" s="110" customFormat="1" ht="15" customHeight="1">
      <c r="A131" s="108"/>
      <c r="B131" s="109" t="s">
        <v>327</v>
      </c>
      <c r="C131" s="108" t="s">
        <v>313</v>
      </c>
      <c r="D131" s="1">
        <v>0</v>
      </c>
      <c r="E131" s="2">
        <v>1</v>
      </c>
      <c r="F131" s="2">
        <v>1</v>
      </c>
      <c r="G131" s="2">
        <v>40204</v>
      </c>
    </row>
    <row r="132" spans="1:7" s="65" customFormat="1" ht="15" customHeight="1">
      <c r="A132" s="62"/>
      <c r="B132" s="107" t="s">
        <v>42</v>
      </c>
      <c r="C132" s="108" t="s">
        <v>314</v>
      </c>
      <c r="D132" s="2">
        <v>289</v>
      </c>
      <c r="E132" s="2">
        <v>166</v>
      </c>
      <c r="F132" s="2">
        <v>166</v>
      </c>
      <c r="G132" s="2">
        <v>166</v>
      </c>
    </row>
    <row r="133" spans="1:7" ht="15" customHeight="1">
      <c r="B133" s="60" t="s">
        <v>43</v>
      </c>
      <c r="C133" s="123" t="s">
        <v>16</v>
      </c>
      <c r="D133" s="2">
        <v>233</v>
      </c>
      <c r="E133" s="2">
        <v>131</v>
      </c>
      <c r="F133" s="2">
        <v>131</v>
      </c>
      <c r="G133" s="2">
        <v>131</v>
      </c>
    </row>
    <row r="134" spans="1:7" ht="15" customHeight="1">
      <c r="B134" s="60" t="s">
        <v>44</v>
      </c>
      <c r="C134" s="43" t="s">
        <v>467</v>
      </c>
      <c r="D134" s="13">
        <v>66</v>
      </c>
      <c r="E134" s="13">
        <v>37</v>
      </c>
      <c r="F134" s="13">
        <v>37</v>
      </c>
      <c r="G134" s="13">
        <v>37</v>
      </c>
    </row>
    <row r="135" spans="1:7" ht="15" customHeight="1">
      <c r="A135" s="66" t="s">
        <v>5</v>
      </c>
      <c r="B135" s="81">
        <v>0.45</v>
      </c>
      <c r="C135" s="68" t="s">
        <v>283</v>
      </c>
      <c r="D135" s="13">
        <f t="shared" ref="D135:F135" si="25">SUM(D128:D134)</f>
        <v>140704</v>
      </c>
      <c r="E135" s="13">
        <f t="shared" si="25"/>
        <v>85182</v>
      </c>
      <c r="F135" s="13">
        <f t="shared" si="25"/>
        <v>82457</v>
      </c>
      <c r="G135" s="13">
        <v>92589</v>
      </c>
    </row>
    <row r="136" spans="1:7" ht="15" customHeight="1">
      <c r="B136" s="80"/>
      <c r="C136" s="123"/>
      <c r="D136" s="27"/>
      <c r="E136" s="27"/>
      <c r="F136" s="27"/>
      <c r="G136" s="27"/>
    </row>
    <row r="137" spans="1:7" ht="15" customHeight="1">
      <c r="B137" s="80">
        <v>0.46</v>
      </c>
      <c r="C137" s="123" t="s">
        <v>284</v>
      </c>
      <c r="D137" s="27"/>
      <c r="E137" s="27"/>
      <c r="F137" s="27"/>
      <c r="G137" s="27"/>
    </row>
    <row r="138" spans="1:7" ht="15" customHeight="1">
      <c r="B138" s="60" t="s">
        <v>45</v>
      </c>
      <c r="C138" s="123" t="s">
        <v>12</v>
      </c>
      <c r="D138" s="2">
        <v>84764</v>
      </c>
      <c r="E138" s="2">
        <v>91507</v>
      </c>
      <c r="F138" s="2">
        <f>91507-4470</f>
        <v>87037</v>
      </c>
      <c r="G138" s="2">
        <v>33523</v>
      </c>
    </row>
    <row r="139" spans="1:7" ht="15" customHeight="1">
      <c r="B139" s="60" t="s">
        <v>207</v>
      </c>
      <c r="C139" s="123" t="s">
        <v>32</v>
      </c>
      <c r="D139" s="1">
        <v>0</v>
      </c>
      <c r="E139" s="2">
        <v>252</v>
      </c>
      <c r="F139" s="2">
        <v>252</v>
      </c>
      <c r="G139" s="1">
        <v>0</v>
      </c>
    </row>
    <row r="140" spans="1:7" s="47" customFormat="1" ht="15" customHeight="1">
      <c r="A140" s="43"/>
      <c r="B140" s="44" t="s">
        <v>329</v>
      </c>
      <c r="C140" s="43" t="s">
        <v>312</v>
      </c>
      <c r="D140" s="1">
        <v>0</v>
      </c>
      <c r="E140" s="2">
        <v>1</v>
      </c>
      <c r="F140" s="2">
        <v>1</v>
      </c>
      <c r="G140" s="2">
        <v>1554</v>
      </c>
    </row>
    <row r="141" spans="1:7" s="47" customFormat="1" ht="15" customHeight="1">
      <c r="A141" s="43"/>
      <c r="B141" s="44" t="s">
        <v>330</v>
      </c>
      <c r="C141" s="43" t="s">
        <v>313</v>
      </c>
      <c r="D141" s="1">
        <v>0</v>
      </c>
      <c r="E141" s="2">
        <v>1</v>
      </c>
      <c r="F141" s="2">
        <v>1</v>
      </c>
      <c r="G141" s="2">
        <v>27743</v>
      </c>
    </row>
    <row r="142" spans="1:7" ht="15" customHeight="1">
      <c r="B142" s="60" t="s">
        <v>46</v>
      </c>
      <c r="C142" s="43" t="s">
        <v>314</v>
      </c>
      <c r="D142" s="2">
        <v>197</v>
      </c>
      <c r="E142" s="2">
        <v>150</v>
      </c>
      <c r="F142" s="2">
        <v>150</v>
      </c>
      <c r="G142" s="2">
        <v>150</v>
      </c>
    </row>
    <row r="143" spans="1:7" ht="15" customHeight="1">
      <c r="B143" s="60" t="s">
        <v>47</v>
      </c>
      <c r="C143" s="123" t="s">
        <v>16</v>
      </c>
      <c r="D143" s="2">
        <v>196</v>
      </c>
      <c r="E143" s="2">
        <v>150</v>
      </c>
      <c r="F143" s="2">
        <v>150</v>
      </c>
      <c r="G143" s="2">
        <v>150</v>
      </c>
    </row>
    <row r="144" spans="1:7" ht="15" customHeight="1">
      <c r="B144" s="60" t="s">
        <v>48</v>
      </c>
      <c r="C144" s="43" t="s">
        <v>467</v>
      </c>
      <c r="D144" s="13">
        <v>70</v>
      </c>
      <c r="E144" s="13">
        <v>50</v>
      </c>
      <c r="F144" s="13">
        <v>50</v>
      </c>
      <c r="G144" s="13">
        <v>50</v>
      </c>
    </row>
    <row r="145" spans="1:7" ht="15" customHeight="1">
      <c r="A145" s="28" t="s">
        <v>5</v>
      </c>
      <c r="B145" s="80">
        <v>0.46</v>
      </c>
      <c r="C145" s="123" t="s">
        <v>284</v>
      </c>
      <c r="D145" s="13">
        <f t="shared" ref="D145:F145" si="26">SUM(D138:D144)</f>
        <v>85227</v>
      </c>
      <c r="E145" s="13">
        <f t="shared" si="26"/>
        <v>92111</v>
      </c>
      <c r="F145" s="13">
        <f t="shared" si="26"/>
        <v>87641</v>
      </c>
      <c r="G145" s="13">
        <v>63170</v>
      </c>
    </row>
    <row r="146" spans="1:7" ht="15" customHeight="1">
      <c r="B146" s="80"/>
      <c r="C146" s="123"/>
      <c r="D146" s="27"/>
      <c r="E146" s="27"/>
      <c r="F146" s="27"/>
      <c r="G146" s="27"/>
    </row>
    <row r="147" spans="1:7" ht="15" customHeight="1">
      <c r="B147" s="80">
        <v>0.47</v>
      </c>
      <c r="C147" s="123" t="s">
        <v>285</v>
      </c>
      <c r="D147" s="27"/>
      <c r="E147" s="27"/>
      <c r="F147" s="27"/>
      <c r="G147" s="27"/>
    </row>
    <row r="148" spans="1:7" ht="15" customHeight="1">
      <c r="B148" s="60" t="s">
        <v>49</v>
      </c>
      <c r="C148" s="123" t="s">
        <v>12</v>
      </c>
      <c r="D148" s="2">
        <v>47400</v>
      </c>
      <c r="E148" s="2">
        <v>52086</v>
      </c>
      <c r="F148" s="2">
        <f>52086-4706</f>
        <v>47380</v>
      </c>
      <c r="G148" s="2">
        <v>26967</v>
      </c>
    </row>
    <row r="149" spans="1:7" ht="15" customHeight="1">
      <c r="B149" s="60" t="s">
        <v>195</v>
      </c>
      <c r="C149" s="123" t="s">
        <v>32</v>
      </c>
      <c r="D149" s="2">
        <v>290</v>
      </c>
      <c r="E149" s="2">
        <v>930</v>
      </c>
      <c r="F149" s="2">
        <v>930</v>
      </c>
      <c r="G149" s="2">
        <v>665</v>
      </c>
    </row>
    <row r="150" spans="1:7" s="47" customFormat="1" ht="15" customHeight="1">
      <c r="A150" s="43"/>
      <c r="B150" s="44" t="s">
        <v>331</v>
      </c>
      <c r="C150" s="43" t="s">
        <v>312</v>
      </c>
      <c r="D150" s="1">
        <v>0</v>
      </c>
      <c r="E150" s="2">
        <v>1</v>
      </c>
      <c r="F150" s="2">
        <v>1</v>
      </c>
      <c r="G150" s="2">
        <v>1348</v>
      </c>
    </row>
    <row r="151" spans="1:7" s="47" customFormat="1" ht="15" customHeight="1">
      <c r="A151" s="43"/>
      <c r="B151" s="44" t="s">
        <v>332</v>
      </c>
      <c r="C151" s="43" t="s">
        <v>313</v>
      </c>
      <c r="D151" s="1">
        <v>0</v>
      </c>
      <c r="E151" s="2">
        <v>1</v>
      </c>
      <c r="F151" s="2">
        <v>1</v>
      </c>
      <c r="G151" s="2">
        <v>22350</v>
      </c>
    </row>
    <row r="152" spans="1:7" ht="15" customHeight="1">
      <c r="B152" s="60" t="s">
        <v>50</v>
      </c>
      <c r="C152" s="43" t="s">
        <v>314</v>
      </c>
      <c r="D152" s="2">
        <v>161</v>
      </c>
      <c r="E152" s="2">
        <v>161</v>
      </c>
      <c r="F152" s="2">
        <v>161</v>
      </c>
      <c r="G152" s="2">
        <v>161</v>
      </c>
    </row>
    <row r="153" spans="1:7" ht="15" customHeight="1">
      <c r="B153" s="60" t="s">
        <v>51</v>
      </c>
      <c r="C153" s="123" t="s">
        <v>16</v>
      </c>
      <c r="D153" s="2">
        <v>123</v>
      </c>
      <c r="E153" s="2">
        <v>123</v>
      </c>
      <c r="F153" s="2">
        <v>123</v>
      </c>
      <c r="G153" s="2">
        <v>123</v>
      </c>
    </row>
    <row r="154" spans="1:7" ht="15" customHeight="1">
      <c r="B154" s="60" t="s">
        <v>52</v>
      </c>
      <c r="C154" s="43" t="s">
        <v>467</v>
      </c>
      <c r="D154" s="2">
        <v>30</v>
      </c>
      <c r="E154" s="2">
        <v>30</v>
      </c>
      <c r="F154" s="2">
        <v>30</v>
      </c>
      <c r="G154" s="2">
        <v>30</v>
      </c>
    </row>
    <row r="155" spans="1:7" ht="15" customHeight="1">
      <c r="A155" s="28" t="s">
        <v>5</v>
      </c>
      <c r="B155" s="80">
        <v>0.47</v>
      </c>
      <c r="C155" s="123" t="s">
        <v>285</v>
      </c>
      <c r="D155" s="4">
        <f t="shared" ref="D155:F155" si="27">SUM(D148:D154)</f>
        <v>48004</v>
      </c>
      <c r="E155" s="4">
        <f t="shared" si="27"/>
        <v>53332</v>
      </c>
      <c r="F155" s="4">
        <f t="shared" si="27"/>
        <v>48626</v>
      </c>
      <c r="G155" s="4">
        <v>51644</v>
      </c>
    </row>
    <row r="156" spans="1:7" ht="15" customHeight="1">
      <c r="B156" s="80"/>
      <c r="C156" s="123"/>
      <c r="D156" s="27"/>
      <c r="E156" s="27"/>
      <c r="F156" s="27"/>
      <c r="G156" s="27"/>
    </row>
    <row r="157" spans="1:7" ht="15" customHeight="1">
      <c r="B157" s="80">
        <v>0.48</v>
      </c>
      <c r="C157" s="123" t="s">
        <v>286</v>
      </c>
      <c r="D157" s="27"/>
      <c r="E157" s="27"/>
      <c r="F157" s="27"/>
      <c r="G157" s="27"/>
    </row>
    <row r="158" spans="1:7" ht="15" customHeight="1">
      <c r="B158" s="60" t="s">
        <v>53</v>
      </c>
      <c r="C158" s="123" t="s">
        <v>12</v>
      </c>
      <c r="D158" s="2">
        <v>81913</v>
      </c>
      <c r="E158" s="2">
        <v>88674</v>
      </c>
      <c r="F158" s="2">
        <f>88674-4919</f>
        <v>83755</v>
      </c>
      <c r="G158" s="2">
        <v>49260</v>
      </c>
    </row>
    <row r="159" spans="1:7" ht="15" customHeight="1">
      <c r="B159" s="60" t="s">
        <v>100</v>
      </c>
      <c r="C159" s="123" t="s">
        <v>32</v>
      </c>
      <c r="D159" s="2">
        <v>384</v>
      </c>
      <c r="E159" s="2">
        <v>826</v>
      </c>
      <c r="F159" s="2">
        <v>826</v>
      </c>
      <c r="G159" s="2">
        <v>1049</v>
      </c>
    </row>
    <row r="160" spans="1:7" s="47" customFormat="1" ht="15" customHeight="1">
      <c r="A160" s="43"/>
      <c r="B160" s="44" t="s">
        <v>333</v>
      </c>
      <c r="C160" s="43" t="s">
        <v>312</v>
      </c>
      <c r="D160" s="1">
        <v>0</v>
      </c>
      <c r="E160" s="2">
        <v>1</v>
      </c>
      <c r="F160" s="2">
        <v>1</v>
      </c>
      <c r="G160" s="2">
        <v>2463</v>
      </c>
    </row>
    <row r="161" spans="1:7" s="47" customFormat="1" ht="15" customHeight="1">
      <c r="A161" s="43"/>
      <c r="B161" s="44" t="s">
        <v>334</v>
      </c>
      <c r="C161" s="43" t="s">
        <v>313</v>
      </c>
      <c r="D161" s="1">
        <v>0</v>
      </c>
      <c r="E161" s="2">
        <v>1</v>
      </c>
      <c r="F161" s="2">
        <v>1</v>
      </c>
      <c r="G161" s="2">
        <v>40003</v>
      </c>
    </row>
    <row r="162" spans="1:7" ht="15" customHeight="1">
      <c r="B162" s="60" t="s">
        <v>54</v>
      </c>
      <c r="C162" s="43" t="s">
        <v>314</v>
      </c>
      <c r="D162" s="7">
        <v>207</v>
      </c>
      <c r="E162" s="7">
        <v>207</v>
      </c>
      <c r="F162" s="7">
        <v>207</v>
      </c>
      <c r="G162" s="7">
        <v>207</v>
      </c>
    </row>
    <row r="163" spans="1:7" ht="15" customHeight="1">
      <c r="B163" s="60" t="s">
        <v>55</v>
      </c>
      <c r="C163" s="123" t="s">
        <v>16</v>
      </c>
      <c r="D163" s="7">
        <v>123</v>
      </c>
      <c r="E163" s="7">
        <v>123</v>
      </c>
      <c r="F163" s="7">
        <v>123</v>
      </c>
      <c r="G163" s="7">
        <v>123</v>
      </c>
    </row>
    <row r="164" spans="1:7" ht="15" customHeight="1">
      <c r="B164" s="60" t="s">
        <v>56</v>
      </c>
      <c r="C164" s="43" t="s">
        <v>467</v>
      </c>
      <c r="D164" s="7">
        <v>81</v>
      </c>
      <c r="E164" s="7">
        <v>81</v>
      </c>
      <c r="F164" s="7">
        <v>81</v>
      </c>
      <c r="G164" s="7">
        <v>81</v>
      </c>
    </row>
    <row r="165" spans="1:7" ht="15" customHeight="1">
      <c r="A165" s="62" t="s">
        <v>5</v>
      </c>
      <c r="B165" s="106">
        <v>0.48</v>
      </c>
      <c r="C165" s="64" t="s">
        <v>286</v>
      </c>
      <c r="D165" s="4">
        <f t="shared" ref="D165:F165" si="28">SUM(D158:D164)</f>
        <v>82708</v>
      </c>
      <c r="E165" s="4">
        <f t="shared" si="28"/>
        <v>89913</v>
      </c>
      <c r="F165" s="4">
        <f t="shared" si="28"/>
        <v>84994</v>
      </c>
      <c r="G165" s="4">
        <v>93186</v>
      </c>
    </row>
    <row r="166" spans="1:7" ht="15" customHeight="1">
      <c r="A166" s="62"/>
      <c r="B166" s="106"/>
      <c r="C166" s="64"/>
      <c r="D166" s="14"/>
      <c r="E166" s="14"/>
      <c r="F166" s="14"/>
      <c r="G166" s="14"/>
    </row>
    <row r="167" spans="1:7" ht="14.45" customHeight="1">
      <c r="B167" s="80">
        <v>0.49</v>
      </c>
      <c r="C167" s="123" t="s">
        <v>292</v>
      </c>
      <c r="D167" s="2"/>
      <c r="E167" s="2"/>
      <c r="F167" s="2"/>
      <c r="G167" s="2"/>
    </row>
    <row r="168" spans="1:7" ht="14.45" customHeight="1">
      <c r="B168" s="60" t="s">
        <v>287</v>
      </c>
      <c r="C168" s="123" t="s">
        <v>12</v>
      </c>
      <c r="D168" s="1">
        <v>0</v>
      </c>
      <c r="E168" s="2">
        <v>66531</v>
      </c>
      <c r="F168" s="2">
        <f>66531-6144</f>
        <v>60387</v>
      </c>
      <c r="G168" s="2">
        <v>38608</v>
      </c>
    </row>
    <row r="169" spans="1:7" ht="14.45" customHeight="1">
      <c r="B169" s="60" t="s">
        <v>288</v>
      </c>
      <c r="C169" s="123" t="s">
        <v>32</v>
      </c>
      <c r="D169" s="1">
        <v>0</v>
      </c>
      <c r="E169" s="2">
        <v>1279</v>
      </c>
      <c r="F169" s="2">
        <v>1279</v>
      </c>
      <c r="G169" s="2">
        <v>1428</v>
      </c>
    </row>
    <row r="170" spans="1:7" s="47" customFormat="1" ht="14.45" customHeight="1">
      <c r="A170" s="43"/>
      <c r="B170" s="44" t="s">
        <v>335</v>
      </c>
      <c r="C170" s="43" t="s">
        <v>312</v>
      </c>
      <c r="D170" s="1">
        <v>0</v>
      </c>
      <c r="E170" s="2">
        <v>1</v>
      </c>
      <c r="F170" s="2">
        <v>1</v>
      </c>
      <c r="G170" s="2">
        <v>1930</v>
      </c>
    </row>
    <row r="171" spans="1:7" s="47" customFormat="1" ht="14.45" customHeight="1">
      <c r="A171" s="43"/>
      <c r="B171" s="44" t="s">
        <v>336</v>
      </c>
      <c r="C171" s="43" t="s">
        <v>313</v>
      </c>
      <c r="D171" s="1">
        <v>0</v>
      </c>
      <c r="E171" s="2">
        <v>1</v>
      </c>
      <c r="F171" s="2">
        <v>1</v>
      </c>
      <c r="G171" s="2">
        <v>31480</v>
      </c>
    </row>
    <row r="172" spans="1:7" ht="14.45" customHeight="1">
      <c r="B172" s="60" t="s">
        <v>289</v>
      </c>
      <c r="C172" s="43" t="s">
        <v>314</v>
      </c>
      <c r="D172" s="1">
        <v>0</v>
      </c>
      <c r="E172" s="2">
        <v>131</v>
      </c>
      <c r="F172" s="2">
        <v>131</v>
      </c>
      <c r="G172" s="7">
        <v>131</v>
      </c>
    </row>
    <row r="173" spans="1:7" ht="14.45" customHeight="1">
      <c r="B173" s="60" t="s">
        <v>290</v>
      </c>
      <c r="C173" s="123" t="s">
        <v>16</v>
      </c>
      <c r="D173" s="1">
        <v>0</v>
      </c>
      <c r="E173" s="2">
        <v>103</v>
      </c>
      <c r="F173" s="2">
        <v>103</v>
      </c>
      <c r="G173" s="7">
        <v>103</v>
      </c>
    </row>
    <row r="174" spans="1:7" ht="14.45" customHeight="1">
      <c r="A174" s="62"/>
      <c r="B174" s="107" t="s">
        <v>291</v>
      </c>
      <c r="C174" s="43" t="s">
        <v>467</v>
      </c>
      <c r="D174" s="12">
        <v>0</v>
      </c>
      <c r="E174" s="13">
        <v>30</v>
      </c>
      <c r="F174" s="13">
        <v>30</v>
      </c>
      <c r="G174" s="13">
        <v>30</v>
      </c>
    </row>
    <row r="175" spans="1:7" s="65" customFormat="1" ht="14.45" customHeight="1">
      <c r="A175" s="62" t="s">
        <v>5</v>
      </c>
      <c r="B175" s="106">
        <v>0.49</v>
      </c>
      <c r="C175" s="64" t="s">
        <v>292</v>
      </c>
      <c r="D175" s="3">
        <f t="shared" ref="D175:F175" si="29">SUM(D168:D174)</f>
        <v>0</v>
      </c>
      <c r="E175" s="4">
        <f t="shared" si="29"/>
        <v>68076</v>
      </c>
      <c r="F175" s="4">
        <f t="shared" si="29"/>
        <v>61932</v>
      </c>
      <c r="G175" s="4">
        <v>73710</v>
      </c>
    </row>
    <row r="176" spans="1:7" s="65" customFormat="1">
      <c r="A176" s="62"/>
      <c r="B176" s="106"/>
      <c r="C176" s="64"/>
      <c r="D176" s="2"/>
      <c r="E176" s="2"/>
      <c r="F176" s="2"/>
      <c r="G176" s="2"/>
    </row>
    <row r="177" spans="1:7" ht="14.45" customHeight="1">
      <c r="B177" s="80">
        <v>0.5</v>
      </c>
      <c r="C177" s="123" t="s">
        <v>293</v>
      </c>
      <c r="D177" s="2"/>
      <c r="E177" s="2"/>
      <c r="F177" s="2"/>
      <c r="G177" s="2"/>
    </row>
    <row r="178" spans="1:7" ht="14.45" customHeight="1">
      <c r="B178" s="60" t="s">
        <v>294</v>
      </c>
      <c r="C178" s="123" t="s">
        <v>12</v>
      </c>
      <c r="D178" s="1">
        <v>0</v>
      </c>
      <c r="E178" s="2">
        <v>1</v>
      </c>
      <c r="F178" s="2">
        <v>1</v>
      </c>
      <c r="G178" s="2">
        <v>18550</v>
      </c>
    </row>
    <row r="179" spans="1:7" ht="14.45" customHeight="1">
      <c r="B179" s="60" t="s">
        <v>295</v>
      </c>
      <c r="C179" s="123" t="s">
        <v>32</v>
      </c>
      <c r="D179" s="1">
        <v>0</v>
      </c>
      <c r="E179" s="2">
        <v>1</v>
      </c>
      <c r="F179" s="2">
        <v>1</v>
      </c>
      <c r="G179" s="2">
        <v>726</v>
      </c>
    </row>
    <row r="180" spans="1:7" s="47" customFormat="1" ht="14.45" customHeight="1">
      <c r="A180" s="43"/>
      <c r="B180" s="44" t="s">
        <v>337</v>
      </c>
      <c r="C180" s="43" t="s">
        <v>312</v>
      </c>
      <c r="D180" s="1">
        <v>0</v>
      </c>
      <c r="E180" s="2">
        <v>1</v>
      </c>
      <c r="F180" s="2">
        <v>1</v>
      </c>
      <c r="G180" s="2">
        <v>1050</v>
      </c>
    </row>
    <row r="181" spans="1:7" s="47" customFormat="1" ht="14.45" customHeight="1">
      <c r="A181" s="43"/>
      <c r="B181" s="44" t="s">
        <v>338</v>
      </c>
      <c r="C181" s="43" t="s">
        <v>313</v>
      </c>
      <c r="D181" s="1">
        <v>0</v>
      </c>
      <c r="E181" s="2">
        <v>1</v>
      </c>
      <c r="F181" s="2">
        <v>1</v>
      </c>
      <c r="G181" s="2">
        <v>15400</v>
      </c>
    </row>
    <row r="182" spans="1:7" ht="14.45" customHeight="1">
      <c r="A182" s="66"/>
      <c r="B182" s="67" t="s">
        <v>296</v>
      </c>
      <c r="C182" s="68" t="s">
        <v>14</v>
      </c>
      <c r="D182" s="12">
        <v>0</v>
      </c>
      <c r="E182" s="13">
        <v>48</v>
      </c>
      <c r="F182" s="13">
        <v>48</v>
      </c>
      <c r="G182" s="13">
        <v>48</v>
      </c>
    </row>
    <row r="183" spans="1:7" ht="14.45" customHeight="1">
      <c r="B183" s="60" t="s">
        <v>297</v>
      </c>
      <c r="C183" s="123" t="s">
        <v>16</v>
      </c>
      <c r="D183" s="1">
        <v>0</v>
      </c>
      <c r="E183" s="2">
        <v>47</v>
      </c>
      <c r="F183" s="2">
        <v>47</v>
      </c>
      <c r="G183" s="7">
        <v>47</v>
      </c>
    </row>
    <row r="184" spans="1:7" ht="14.45" customHeight="1">
      <c r="B184" s="60" t="s">
        <v>298</v>
      </c>
      <c r="C184" s="43" t="s">
        <v>467</v>
      </c>
      <c r="D184" s="12">
        <v>0</v>
      </c>
      <c r="E184" s="13">
        <v>22</v>
      </c>
      <c r="F184" s="13">
        <v>22</v>
      </c>
      <c r="G184" s="13">
        <v>22</v>
      </c>
    </row>
    <row r="185" spans="1:7" ht="14.45" customHeight="1">
      <c r="A185" s="28" t="s">
        <v>5</v>
      </c>
      <c r="B185" s="80">
        <v>0.5</v>
      </c>
      <c r="C185" s="123" t="s">
        <v>293</v>
      </c>
      <c r="D185" s="12">
        <f t="shared" ref="D185:F185" si="30">SUM(D178:D184)</f>
        <v>0</v>
      </c>
      <c r="E185" s="13">
        <f t="shared" si="30"/>
        <v>121</v>
      </c>
      <c r="F185" s="13">
        <f t="shared" si="30"/>
        <v>121</v>
      </c>
      <c r="G185" s="13">
        <v>35843</v>
      </c>
    </row>
    <row r="186" spans="1:7" ht="15" customHeight="1">
      <c r="B186" s="80"/>
      <c r="C186" s="123"/>
      <c r="D186" s="2"/>
      <c r="E186" s="2"/>
      <c r="F186" s="2"/>
      <c r="G186" s="2"/>
    </row>
    <row r="187" spans="1:7" ht="15" customHeight="1">
      <c r="B187" s="80">
        <v>0.6</v>
      </c>
      <c r="C187" s="123" t="s">
        <v>33</v>
      </c>
      <c r="D187" s="27"/>
      <c r="E187" s="27"/>
      <c r="F187" s="27"/>
      <c r="G187" s="27"/>
    </row>
    <row r="188" spans="1:7" ht="15" customHeight="1">
      <c r="B188" s="60" t="s">
        <v>34</v>
      </c>
      <c r="C188" s="123" t="s">
        <v>12</v>
      </c>
      <c r="D188" s="15">
        <f>168332</f>
        <v>168332</v>
      </c>
      <c r="E188" s="15">
        <v>181815</v>
      </c>
      <c r="F188" s="15">
        <f>181815-5546</f>
        <v>176269</v>
      </c>
      <c r="G188" s="2">
        <v>102961</v>
      </c>
    </row>
    <row r="189" spans="1:7" ht="15" customHeight="1">
      <c r="B189" s="60" t="s">
        <v>193</v>
      </c>
      <c r="C189" s="123" t="s">
        <v>32</v>
      </c>
      <c r="D189" s="127">
        <v>6467</v>
      </c>
      <c r="E189" s="127">
        <v>7953</v>
      </c>
      <c r="F189" s="127">
        <v>7953</v>
      </c>
      <c r="G189" s="7">
        <v>49855</v>
      </c>
    </row>
    <row r="190" spans="1:7" s="47" customFormat="1" ht="15" customHeight="1">
      <c r="A190" s="43"/>
      <c r="B190" s="44" t="s">
        <v>339</v>
      </c>
      <c r="C190" s="43" t="s">
        <v>312</v>
      </c>
      <c r="D190" s="1">
        <v>0</v>
      </c>
      <c r="E190" s="2">
        <v>1</v>
      </c>
      <c r="F190" s="2">
        <v>1</v>
      </c>
      <c r="G190" s="2">
        <v>5148</v>
      </c>
    </row>
    <row r="191" spans="1:7" s="47" customFormat="1" ht="15" customHeight="1">
      <c r="A191" s="43"/>
      <c r="B191" s="44" t="s">
        <v>340</v>
      </c>
      <c r="C191" s="43" t="s">
        <v>313</v>
      </c>
      <c r="D191" s="1">
        <v>0</v>
      </c>
      <c r="E191" s="2">
        <v>1</v>
      </c>
      <c r="F191" s="2">
        <v>1</v>
      </c>
      <c r="G191" s="2">
        <v>88831</v>
      </c>
    </row>
    <row r="192" spans="1:7" s="47" customFormat="1" ht="15" customHeight="1">
      <c r="A192" s="43"/>
      <c r="B192" s="44" t="s">
        <v>382</v>
      </c>
      <c r="C192" s="43" t="s">
        <v>380</v>
      </c>
      <c r="D192" s="1">
        <v>0</v>
      </c>
      <c r="E192" s="2">
        <v>1</v>
      </c>
      <c r="F192" s="2">
        <v>1</v>
      </c>
      <c r="G192" s="2">
        <v>1</v>
      </c>
    </row>
    <row r="193" spans="1:7" s="47" customFormat="1" ht="15" customHeight="1">
      <c r="A193" s="43"/>
      <c r="B193" s="44" t="s">
        <v>383</v>
      </c>
      <c r="C193" s="43" t="s">
        <v>381</v>
      </c>
      <c r="D193" s="1">
        <v>0</v>
      </c>
      <c r="E193" s="2">
        <v>3000</v>
      </c>
      <c r="F193" s="2">
        <v>3000</v>
      </c>
      <c r="G193" s="2">
        <v>4000</v>
      </c>
    </row>
    <row r="194" spans="1:7" ht="15" customHeight="1">
      <c r="B194" s="60" t="s">
        <v>35</v>
      </c>
      <c r="C194" s="43" t="s">
        <v>314</v>
      </c>
      <c r="D194" s="127">
        <v>471</v>
      </c>
      <c r="E194" s="127">
        <v>470</v>
      </c>
      <c r="F194" s="127">
        <v>470</v>
      </c>
      <c r="G194" s="7">
        <v>470</v>
      </c>
    </row>
    <row r="195" spans="1:7" s="47" customFormat="1" ht="15" customHeight="1">
      <c r="A195" s="43"/>
      <c r="B195" s="44" t="s">
        <v>343</v>
      </c>
      <c r="C195" s="43" t="s">
        <v>342</v>
      </c>
      <c r="D195" s="1">
        <v>0</v>
      </c>
      <c r="E195" s="2">
        <v>1</v>
      </c>
      <c r="F195" s="2">
        <v>1</v>
      </c>
      <c r="G195" s="2">
        <v>1</v>
      </c>
    </row>
    <row r="196" spans="1:7" ht="15" customHeight="1">
      <c r="B196" s="60" t="s">
        <v>36</v>
      </c>
      <c r="C196" s="123" t="s">
        <v>16</v>
      </c>
      <c r="D196" s="127">
        <v>6151</v>
      </c>
      <c r="E196" s="127">
        <v>15159</v>
      </c>
      <c r="F196" s="127">
        <v>15159</v>
      </c>
      <c r="G196" s="7">
        <v>2660</v>
      </c>
    </row>
    <row r="197" spans="1:7" s="47" customFormat="1" ht="15" customHeight="1">
      <c r="A197" s="43"/>
      <c r="B197" s="44" t="s">
        <v>347</v>
      </c>
      <c r="C197" s="43" t="s">
        <v>345</v>
      </c>
      <c r="D197" s="1">
        <v>0</v>
      </c>
      <c r="E197" s="2">
        <v>1</v>
      </c>
      <c r="F197" s="2">
        <v>1</v>
      </c>
      <c r="G197" s="2">
        <v>1</v>
      </c>
    </row>
    <row r="198" spans="1:7" s="47" customFormat="1" ht="15" customHeight="1">
      <c r="A198" s="43"/>
      <c r="B198" s="44" t="s">
        <v>348</v>
      </c>
      <c r="C198" s="43" t="s">
        <v>346</v>
      </c>
      <c r="D198" s="1">
        <v>0</v>
      </c>
      <c r="E198" s="2">
        <v>1</v>
      </c>
      <c r="F198" s="2">
        <v>1</v>
      </c>
      <c r="G198" s="2">
        <v>1</v>
      </c>
    </row>
    <row r="199" spans="1:7" ht="15" customHeight="1">
      <c r="B199" s="60" t="s">
        <v>37</v>
      </c>
      <c r="C199" s="123" t="s">
        <v>344</v>
      </c>
      <c r="D199" s="7">
        <v>8893</v>
      </c>
      <c r="E199" s="127">
        <v>3300</v>
      </c>
      <c r="F199" s="127">
        <v>3300</v>
      </c>
      <c r="G199" s="7">
        <v>11900</v>
      </c>
    </row>
    <row r="200" spans="1:7" s="47" customFormat="1" ht="15" customHeight="1">
      <c r="A200" s="43"/>
      <c r="B200" s="44" t="s">
        <v>341</v>
      </c>
      <c r="C200" s="43" t="s">
        <v>315</v>
      </c>
      <c r="D200" s="1">
        <v>0</v>
      </c>
      <c r="E200" s="2">
        <v>1</v>
      </c>
      <c r="F200" s="2">
        <v>1</v>
      </c>
      <c r="G200" s="2">
        <v>1</v>
      </c>
    </row>
    <row r="201" spans="1:7" ht="15" customHeight="1">
      <c r="B201" s="60" t="s">
        <v>38</v>
      </c>
      <c r="C201" s="43" t="s">
        <v>467</v>
      </c>
      <c r="D201" s="127">
        <v>418</v>
      </c>
      <c r="E201" s="127">
        <v>1372</v>
      </c>
      <c r="F201" s="127">
        <v>1372</v>
      </c>
      <c r="G201" s="7">
        <v>1372</v>
      </c>
    </row>
    <row r="202" spans="1:7" ht="15" customHeight="1">
      <c r="B202" s="60" t="s">
        <v>420</v>
      </c>
      <c r="C202" s="43" t="s">
        <v>421</v>
      </c>
      <c r="D202" s="17">
        <v>0</v>
      </c>
      <c r="E202" s="127">
        <v>2500</v>
      </c>
      <c r="F202" s="127">
        <v>2500</v>
      </c>
      <c r="G202" s="2">
        <v>2500</v>
      </c>
    </row>
    <row r="203" spans="1:7" ht="15" customHeight="1">
      <c r="B203" s="60" t="s">
        <v>397</v>
      </c>
      <c r="C203" s="43" t="s">
        <v>395</v>
      </c>
      <c r="D203" s="1">
        <v>0</v>
      </c>
      <c r="E203" s="2">
        <v>1</v>
      </c>
      <c r="F203" s="2">
        <v>1</v>
      </c>
      <c r="G203" s="2">
        <v>3000</v>
      </c>
    </row>
    <row r="204" spans="1:7" ht="15" customHeight="1">
      <c r="A204" s="43"/>
      <c r="B204" s="44" t="s">
        <v>349</v>
      </c>
      <c r="C204" s="43" t="s">
        <v>350</v>
      </c>
      <c r="D204" s="1">
        <v>0</v>
      </c>
      <c r="E204" s="2">
        <v>21100</v>
      </c>
      <c r="F204" s="2">
        <v>21100</v>
      </c>
      <c r="G204" s="2">
        <v>21100</v>
      </c>
    </row>
    <row r="205" spans="1:7" ht="15" customHeight="1">
      <c r="B205" s="60" t="s">
        <v>39</v>
      </c>
      <c r="C205" s="123" t="s">
        <v>40</v>
      </c>
      <c r="D205" s="128">
        <v>43769</v>
      </c>
      <c r="E205" s="17">
        <v>0</v>
      </c>
      <c r="F205" s="17">
        <v>0</v>
      </c>
      <c r="G205" s="6">
        <v>0</v>
      </c>
    </row>
    <row r="206" spans="1:7" ht="15" customHeight="1">
      <c r="A206" s="28" t="s">
        <v>5</v>
      </c>
      <c r="B206" s="80">
        <v>0.6</v>
      </c>
      <c r="C206" s="123" t="s">
        <v>33</v>
      </c>
      <c r="D206" s="4">
        <f t="shared" ref="D206:F206" si="31">SUM(D188:D205)</f>
        <v>234501</v>
      </c>
      <c r="E206" s="4">
        <f t="shared" si="31"/>
        <v>236677</v>
      </c>
      <c r="F206" s="4">
        <f t="shared" si="31"/>
        <v>231131</v>
      </c>
      <c r="G206" s="4">
        <v>293802</v>
      </c>
    </row>
    <row r="207" spans="1:7" ht="15" customHeight="1">
      <c r="B207" s="80"/>
      <c r="C207" s="123"/>
      <c r="D207" s="14"/>
      <c r="E207" s="14"/>
      <c r="F207" s="14"/>
      <c r="G207" s="14"/>
    </row>
    <row r="208" spans="1:7" s="65" customFormat="1" ht="15" customHeight="1">
      <c r="A208" s="62"/>
      <c r="B208" s="106">
        <v>0.61</v>
      </c>
      <c r="C208" s="64" t="s">
        <v>452</v>
      </c>
      <c r="D208" s="2"/>
      <c r="E208" s="2"/>
      <c r="F208" s="2"/>
      <c r="G208" s="2"/>
    </row>
    <row r="209" spans="1:7" s="65" customFormat="1" ht="15" customHeight="1">
      <c r="A209" s="62"/>
      <c r="B209" s="106" t="s">
        <v>453</v>
      </c>
      <c r="C209" s="64" t="s">
        <v>350</v>
      </c>
      <c r="D209" s="1">
        <v>0</v>
      </c>
      <c r="E209" s="1">
        <v>0</v>
      </c>
      <c r="F209" s="1">
        <v>0</v>
      </c>
      <c r="G209" s="2">
        <v>50000</v>
      </c>
    </row>
    <row r="210" spans="1:7" s="65" customFormat="1" ht="15" customHeight="1">
      <c r="A210" s="28" t="s">
        <v>5</v>
      </c>
      <c r="B210" s="106">
        <v>0.61</v>
      </c>
      <c r="C210" s="64" t="s">
        <v>452</v>
      </c>
      <c r="D210" s="3">
        <f>D209</f>
        <v>0</v>
      </c>
      <c r="E210" s="3">
        <f t="shared" ref="E210:F210" si="32">E209</f>
        <v>0</v>
      </c>
      <c r="F210" s="3">
        <f t="shared" si="32"/>
        <v>0</v>
      </c>
      <c r="G210" s="4">
        <v>50000</v>
      </c>
    </row>
    <row r="211" spans="1:7" ht="15" customHeight="1">
      <c r="A211" s="62" t="s">
        <v>5</v>
      </c>
      <c r="B211" s="111">
        <v>1.0009999999999999</v>
      </c>
      <c r="C211" s="102" t="s">
        <v>8</v>
      </c>
      <c r="D211" s="4">
        <f>D165+D155+D145+D135+D206+D175+D185+D210</f>
        <v>591144</v>
      </c>
      <c r="E211" s="4">
        <f t="shared" ref="E211:F211" si="33">E165+E155+E145+E135+E206+E175+E185+E210</f>
        <v>625412</v>
      </c>
      <c r="F211" s="4">
        <f t="shared" si="33"/>
        <v>596902</v>
      </c>
      <c r="G211" s="4">
        <v>753944</v>
      </c>
    </row>
    <row r="212" spans="1:7" ht="15" customHeight="1">
      <c r="B212" s="70"/>
      <c r="C212" s="58"/>
      <c r="D212" s="27"/>
      <c r="E212" s="27"/>
      <c r="F212" s="27"/>
      <c r="G212" s="27"/>
    </row>
    <row r="213" spans="1:7" ht="14.45" customHeight="1">
      <c r="B213" s="61">
        <v>1.004</v>
      </c>
      <c r="C213" s="58" t="s">
        <v>57</v>
      </c>
      <c r="D213" s="27"/>
      <c r="E213" s="27"/>
      <c r="F213" s="27"/>
      <c r="G213" s="27"/>
    </row>
    <row r="214" spans="1:7" ht="14.45" customHeight="1">
      <c r="B214" s="83">
        <v>60</v>
      </c>
      <c r="C214" s="123" t="s">
        <v>58</v>
      </c>
      <c r="D214" s="27"/>
      <c r="E214" s="27"/>
      <c r="F214" s="27"/>
      <c r="G214" s="27"/>
    </row>
    <row r="215" spans="1:7" ht="14.45" customHeight="1">
      <c r="B215" s="60" t="s">
        <v>59</v>
      </c>
      <c r="C215" s="123" t="s">
        <v>12</v>
      </c>
      <c r="D215" s="7">
        <v>14495</v>
      </c>
      <c r="E215" s="127">
        <v>15810</v>
      </c>
      <c r="F215" s="127">
        <f>15810-604</f>
        <v>15206</v>
      </c>
      <c r="G215" s="7">
        <v>9330</v>
      </c>
    </row>
    <row r="216" spans="1:7" ht="14.45" customHeight="1">
      <c r="B216" s="60" t="s">
        <v>116</v>
      </c>
      <c r="C216" s="123" t="s">
        <v>32</v>
      </c>
      <c r="D216" s="7">
        <v>664</v>
      </c>
      <c r="E216" s="127">
        <v>664</v>
      </c>
      <c r="F216" s="127">
        <v>664</v>
      </c>
      <c r="G216" s="7">
        <v>664</v>
      </c>
    </row>
    <row r="217" spans="1:7" s="47" customFormat="1" ht="14.45" customHeight="1">
      <c r="A217" s="43"/>
      <c r="B217" s="44" t="s">
        <v>351</v>
      </c>
      <c r="C217" s="43" t="s">
        <v>312</v>
      </c>
      <c r="D217" s="1">
        <v>0</v>
      </c>
      <c r="E217" s="2">
        <v>1</v>
      </c>
      <c r="F217" s="2">
        <v>1</v>
      </c>
      <c r="G217" s="2">
        <v>466</v>
      </c>
    </row>
    <row r="218" spans="1:7" s="47" customFormat="1" ht="14.45" customHeight="1">
      <c r="A218" s="43"/>
      <c r="B218" s="44" t="s">
        <v>352</v>
      </c>
      <c r="C218" s="43" t="s">
        <v>313</v>
      </c>
      <c r="D218" s="1">
        <v>0</v>
      </c>
      <c r="E218" s="2">
        <v>1</v>
      </c>
      <c r="F218" s="2">
        <v>1</v>
      </c>
      <c r="G218" s="2">
        <v>7467</v>
      </c>
    </row>
    <row r="219" spans="1:7" ht="14.45" customHeight="1">
      <c r="B219" s="60" t="s">
        <v>268</v>
      </c>
      <c r="C219" s="43" t="s">
        <v>314</v>
      </c>
      <c r="D219" s="1">
        <v>0</v>
      </c>
      <c r="E219" s="15">
        <v>1</v>
      </c>
      <c r="F219" s="15">
        <v>1</v>
      </c>
      <c r="G219" s="2">
        <v>1</v>
      </c>
    </row>
    <row r="220" spans="1:7" ht="14.45" customHeight="1">
      <c r="B220" s="60" t="s">
        <v>269</v>
      </c>
      <c r="C220" s="123" t="s">
        <v>16</v>
      </c>
      <c r="D220" s="12">
        <v>0</v>
      </c>
      <c r="E220" s="20">
        <v>1</v>
      </c>
      <c r="F220" s="20">
        <v>1</v>
      </c>
      <c r="G220" s="13">
        <v>1</v>
      </c>
    </row>
    <row r="221" spans="1:7" ht="14.45" customHeight="1">
      <c r="A221" s="62" t="s">
        <v>5</v>
      </c>
      <c r="B221" s="132">
        <v>60</v>
      </c>
      <c r="C221" s="64" t="s">
        <v>58</v>
      </c>
      <c r="D221" s="13">
        <f t="shared" ref="D221:F221" si="34">SUM(D215:D220)</f>
        <v>15159</v>
      </c>
      <c r="E221" s="13">
        <f t="shared" si="34"/>
        <v>16478</v>
      </c>
      <c r="F221" s="13">
        <f t="shared" si="34"/>
        <v>15874</v>
      </c>
      <c r="G221" s="13">
        <v>17929</v>
      </c>
    </row>
    <row r="222" spans="1:7" s="65" customFormat="1" ht="14.45" customHeight="1">
      <c r="A222" s="62" t="s">
        <v>5</v>
      </c>
      <c r="B222" s="111">
        <v>1.004</v>
      </c>
      <c r="C222" s="19" t="s">
        <v>57</v>
      </c>
      <c r="D222" s="4">
        <f>D221</f>
        <v>15159</v>
      </c>
      <c r="E222" s="4">
        <f t="shared" ref="E222:F222" si="35">E221</f>
        <v>16478</v>
      </c>
      <c r="F222" s="4">
        <f t="shared" si="35"/>
        <v>15874</v>
      </c>
      <c r="G222" s="4">
        <v>17929</v>
      </c>
    </row>
    <row r="223" spans="1:7" s="65" customFormat="1" ht="14.45" customHeight="1">
      <c r="A223" s="62"/>
      <c r="B223" s="18"/>
      <c r="C223" s="19"/>
      <c r="D223" s="36"/>
      <c r="E223" s="36"/>
      <c r="F223" s="36"/>
      <c r="G223" s="36"/>
    </row>
    <row r="224" spans="1:7" ht="14.1" customHeight="1">
      <c r="B224" s="61">
        <v>1.0049999999999999</v>
      </c>
      <c r="C224" s="58" t="s">
        <v>144</v>
      </c>
      <c r="D224" s="27"/>
      <c r="E224" s="27"/>
      <c r="F224" s="27"/>
      <c r="G224" s="27"/>
    </row>
    <row r="225" spans="1:7" ht="14.1" customHeight="1">
      <c r="B225" s="85">
        <v>63</v>
      </c>
      <c r="C225" s="123" t="s">
        <v>60</v>
      </c>
      <c r="D225" s="27"/>
      <c r="E225" s="27"/>
      <c r="F225" s="27"/>
      <c r="G225" s="27"/>
    </row>
    <row r="226" spans="1:7" ht="14.1" customHeight="1">
      <c r="B226" s="60" t="s">
        <v>61</v>
      </c>
      <c r="C226" s="123" t="s">
        <v>12</v>
      </c>
      <c r="D226" s="2">
        <v>8845</v>
      </c>
      <c r="E226" s="15">
        <v>9839</v>
      </c>
      <c r="F226" s="15">
        <f>9839-1229</f>
        <v>8610</v>
      </c>
      <c r="G226" s="2">
        <v>5479</v>
      </c>
    </row>
    <row r="227" spans="1:7" ht="14.1" customHeight="1">
      <c r="B227" s="60" t="s">
        <v>196</v>
      </c>
      <c r="C227" s="123" t="s">
        <v>32</v>
      </c>
      <c r="D227" s="2">
        <v>122</v>
      </c>
      <c r="E227" s="15">
        <v>122</v>
      </c>
      <c r="F227" s="15">
        <v>122</v>
      </c>
      <c r="G227" s="2">
        <v>122</v>
      </c>
    </row>
    <row r="228" spans="1:7" s="47" customFormat="1" ht="14.1" customHeight="1">
      <c r="A228" s="52"/>
      <c r="B228" s="53" t="s">
        <v>353</v>
      </c>
      <c r="C228" s="52" t="s">
        <v>312</v>
      </c>
      <c r="D228" s="12">
        <v>0</v>
      </c>
      <c r="E228" s="13">
        <v>1</v>
      </c>
      <c r="F228" s="13">
        <v>1</v>
      </c>
      <c r="G228" s="13">
        <v>274</v>
      </c>
    </row>
    <row r="229" spans="1:7" s="47" customFormat="1" ht="14.1" customHeight="1">
      <c r="A229" s="43"/>
      <c r="B229" s="44" t="s">
        <v>354</v>
      </c>
      <c r="C229" s="43" t="s">
        <v>313</v>
      </c>
      <c r="D229" s="1">
        <v>0</v>
      </c>
      <c r="E229" s="2">
        <v>1</v>
      </c>
      <c r="F229" s="2">
        <v>1</v>
      </c>
      <c r="G229" s="2">
        <v>4383</v>
      </c>
    </row>
    <row r="230" spans="1:7" ht="14.1" customHeight="1">
      <c r="B230" s="60" t="s">
        <v>62</v>
      </c>
      <c r="C230" s="43" t="s">
        <v>314</v>
      </c>
      <c r="D230" s="15">
        <v>42</v>
      </c>
      <c r="E230" s="15">
        <v>42</v>
      </c>
      <c r="F230" s="15">
        <v>42</v>
      </c>
      <c r="G230" s="2">
        <v>42</v>
      </c>
    </row>
    <row r="231" spans="1:7" ht="14.1" customHeight="1">
      <c r="B231" s="60" t="s">
        <v>63</v>
      </c>
      <c r="C231" s="123" t="s">
        <v>16</v>
      </c>
      <c r="D231" s="2">
        <v>24</v>
      </c>
      <c r="E231" s="15">
        <v>24</v>
      </c>
      <c r="F231" s="15">
        <v>24</v>
      </c>
      <c r="G231" s="2">
        <v>24</v>
      </c>
    </row>
    <row r="232" spans="1:7" ht="14.1" customHeight="1">
      <c r="A232" s="28" t="s">
        <v>5</v>
      </c>
      <c r="B232" s="29">
        <v>63</v>
      </c>
      <c r="C232" s="123" t="s">
        <v>60</v>
      </c>
      <c r="D232" s="4">
        <f t="shared" ref="D232:F232" si="36">SUM(D226:D231)</f>
        <v>9033</v>
      </c>
      <c r="E232" s="4">
        <f t="shared" si="36"/>
        <v>10029</v>
      </c>
      <c r="F232" s="4">
        <f t="shared" si="36"/>
        <v>8800</v>
      </c>
      <c r="G232" s="4">
        <v>10324</v>
      </c>
    </row>
    <row r="233" spans="1:7" ht="6" customHeight="1">
      <c r="C233" s="123"/>
      <c r="D233" s="27"/>
      <c r="E233" s="27"/>
      <c r="F233" s="27"/>
      <c r="G233" s="27"/>
    </row>
    <row r="234" spans="1:7" ht="14.1" customHeight="1">
      <c r="B234" s="85">
        <v>64</v>
      </c>
      <c r="C234" s="123" t="s">
        <v>64</v>
      </c>
      <c r="D234" s="27"/>
      <c r="E234" s="27"/>
      <c r="F234" s="27"/>
      <c r="G234" s="27"/>
    </row>
    <row r="235" spans="1:7" ht="14.1" customHeight="1">
      <c r="B235" s="60" t="s">
        <v>65</v>
      </c>
      <c r="C235" s="123" t="s">
        <v>12</v>
      </c>
      <c r="D235" s="2">
        <f>34518-1</f>
        <v>34517</v>
      </c>
      <c r="E235" s="2">
        <v>35291</v>
      </c>
      <c r="F235" s="2">
        <f>35291-3362</f>
        <v>31929</v>
      </c>
      <c r="G235" s="2">
        <v>17279</v>
      </c>
    </row>
    <row r="236" spans="1:7" ht="14.1" customHeight="1">
      <c r="B236" s="60" t="s">
        <v>66</v>
      </c>
      <c r="C236" s="123" t="s">
        <v>32</v>
      </c>
      <c r="D236" s="2">
        <v>446</v>
      </c>
      <c r="E236" s="2">
        <v>514</v>
      </c>
      <c r="F236" s="2">
        <v>514</v>
      </c>
      <c r="G236" s="2">
        <v>557</v>
      </c>
    </row>
    <row r="237" spans="1:7" s="47" customFormat="1" ht="14.1" customHeight="1">
      <c r="A237" s="43"/>
      <c r="B237" s="44" t="s">
        <v>355</v>
      </c>
      <c r="C237" s="43" t="s">
        <v>312</v>
      </c>
      <c r="D237" s="1">
        <v>0</v>
      </c>
      <c r="E237" s="2">
        <v>1</v>
      </c>
      <c r="F237" s="2">
        <v>1</v>
      </c>
      <c r="G237" s="2">
        <v>864</v>
      </c>
    </row>
    <row r="238" spans="1:7" s="47" customFormat="1" ht="14.1" customHeight="1">
      <c r="A238" s="43"/>
      <c r="B238" s="44" t="s">
        <v>356</v>
      </c>
      <c r="C238" s="43" t="s">
        <v>313</v>
      </c>
      <c r="D238" s="1">
        <v>0</v>
      </c>
      <c r="E238" s="2">
        <v>1</v>
      </c>
      <c r="F238" s="2">
        <v>1</v>
      </c>
      <c r="G238" s="2">
        <v>14407</v>
      </c>
    </row>
    <row r="239" spans="1:7" ht="14.1" customHeight="1">
      <c r="B239" s="60" t="s">
        <v>67</v>
      </c>
      <c r="C239" s="43" t="s">
        <v>314</v>
      </c>
      <c r="D239" s="2">
        <v>34</v>
      </c>
      <c r="E239" s="2">
        <v>42</v>
      </c>
      <c r="F239" s="2">
        <v>42</v>
      </c>
      <c r="G239" s="2">
        <v>42</v>
      </c>
    </row>
    <row r="240" spans="1:7" ht="14.1" customHeight="1">
      <c r="B240" s="60" t="s">
        <v>68</v>
      </c>
      <c r="C240" s="123" t="s">
        <v>16</v>
      </c>
      <c r="D240" s="2">
        <v>37</v>
      </c>
      <c r="E240" s="2">
        <v>37</v>
      </c>
      <c r="F240" s="2">
        <v>37</v>
      </c>
      <c r="G240" s="7">
        <v>37</v>
      </c>
    </row>
    <row r="241" spans="1:7" ht="14.1" customHeight="1">
      <c r="A241" s="28" t="s">
        <v>5</v>
      </c>
      <c r="B241" s="85">
        <v>64</v>
      </c>
      <c r="C241" s="123" t="s">
        <v>64</v>
      </c>
      <c r="D241" s="4">
        <f t="shared" ref="D241:F241" si="37">SUM(D234:D240)</f>
        <v>35034</v>
      </c>
      <c r="E241" s="4">
        <f t="shared" si="37"/>
        <v>35886</v>
      </c>
      <c r="F241" s="4">
        <f t="shared" si="37"/>
        <v>32524</v>
      </c>
      <c r="G241" s="4">
        <v>33186</v>
      </c>
    </row>
    <row r="242" spans="1:7" ht="14.1" customHeight="1">
      <c r="A242" s="28" t="s">
        <v>5</v>
      </c>
      <c r="B242" s="61">
        <v>1.0049999999999999</v>
      </c>
      <c r="C242" s="58" t="s">
        <v>144</v>
      </c>
      <c r="D242" s="4">
        <f t="shared" ref="D242:F242" si="38">D241+D232</f>
        <v>44067</v>
      </c>
      <c r="E242" s="4">
        <f t="shared" si="38"/>
        <v>45915</v>
      </c>
      <c r="F242" s="4">
        <f t="shared" si="38"/>
        <v>41324</v>
      </c>
      <c r="G242" s="4">
        <v>43510</v>
      </c>
    </row>
    <row r="243" spans="1:7" ht="8.25" customHeight="1">
      <c r="B243" s="70"/>
      <c r="C243" s="58"/>
      <c r="D243" s="27"/>
      <c r="E243" s="27"/>
      <c r="F243" s="27"/>
      <c r="G243" s="27"/>
    </row>
    <row r="244" spans="1:7" ht="14.1" customHeight="1">
      <c r="B244" s="61">
        <v>1.0129999999999999</v>
      </c>
      <c r="C244" s="58" t="s">
        <v>129</v>
      </c>
      <c r="D244" s="27"/>
      <c r="E244" s="27"/>
      <c r="F244" s="27"/>
      <c r="G244" s="27"/>
    </row>
    <row r="245" spans="1:7" ht="14.1" customHeight="1">
      <c r="B245" s="29">
        <v>65</v>
      </c>
      <c r="C245" s="123" t="s">
        <v>69</v>
      </c>
      <c r="D245" s="27"/>
      <c r="E245" s="27"/>
      <c r="F245" s="27"/>
      <c r="G245" s="27"/>
    </row>
    <row r="246" spans="1:7" ht="14.1" customHeight="1">
      <c r="B246" s="60" t="s">
        <v>70</v>
      </c>
      <c r="C246" s="123" t="s">
        <v>12</v>
      </c>
      <c r="D246" s="127">
        <v>7930</v>
      </c>
      <c r="E246" s="127">
        <v>7766</v>
      </c>
      <c r="F246" s="127">
        <f>7766-892</f>
        <v>6874</v>
      </c>
      <c r="G246" s="7">
        <v>3897</v>
      </c>
    </row>
    <row r="247" spans="1:7" s="47" customFormat="1" ht="14.1" customHeight="1">
      <c r="A247" s="43"/>
      <c r="B247" s="44" t="s">
        <v>357</v>
      </c>
      <c r="C247" s="43" t="s">
        <v>312</v>
      </c>
      <c r="D247" s="1">
        <v>0</v>
      </c>
      <c r="E247" s="2">
        <v>1</v>
      </c>
      <c r="F247" s="2">
        <v>1</v>
      </c>
      <c r="G247" s="2">
        <v>195</v>
      </c>
    </row>
    <row r="248" spans="1:7" s="47" customFormat="1" ht="14.1" customHeight="1">
      <c r="A248" s="43"/>
      <c r="B248" s="44" t="s">
        <v>358</v>
      </c>
      <c r="C248" s="43" t="s">
        <v>313</v>
      </c>
      <c r="D248" s="1">
        <v>0</v>
      </c>
      <c r="E248" s="2">
        <v>1</v>
      </c>
      <c r="F248" s="2">
        <v>1</v>
      </c>
      <c r="G248" s="2">
        <v>3137</v>
      </c>
    </row>
    <row r="249" spans="1:7" ht="14.1" customHeight="1">
      <c r="A249" s="28" t="s">
        <v>5</v>
      </c>
      <c r="B249" s="29">
        <v>65</v>
      </c>
      <c r="C249" s="123" t="s">
        <v>69</v>
      </c>
      <c r="D249" s="10">
        <f t="shared" ref="D249:F249" si="39">SUM(D246:D248)</f>
        <v>7930</v>
      </c>
      <c r="E249" s="10">
        <f t="shared" si="39"/>
        <v>7768</v>
      </c>
      <c r="F249" s="10">
        <f t="shared" si="39"/>
        <v>6876</v>
      </c>
      <c r="G249" s="10">
        <v>7229</v>
      </c>
    </row>
    <row r="250" spans="1:7" ht="14.1" customHeight="1">
      <c r="A250" s="28" t="s">
        <v>5</v>
      </c>
      <c r="B250" s="61">
        <v>1.0129999999999999</v>
      </c>
      <c r="C250" s="58" t="s">
        <v>129</v>
      </c>
      <c r="D250" s="4">
        <f t="shared" ref="D250:F250" si="40">D249</f>
        <v>7930</v>
      </c>
      <c r="E250" s="4">
        <f t="shared" si="40"/>
        <v>7768</v>
      </c>
      <c r="F250" s="4">
        <f t="shared" si="40"/>
        <v>6876</v>
      </c>
      <c r="G250" s="4">
        <v>7229</v>
      </c>
    </row>
    <row r="251" spans="1:7" ht="7.5" customHeight="1">
      <c r="B251" s="61"/>
      <c r="C251" s="58"/>
      <c r="D251" s="27"/>
      <c r="E251" s="27"/>
      <c r="F251" s="27"/>
      <c r="G251" s="27"/>
    </row>
    <row r="252" spans="1:7" ht="15" customHeight="1">
      <c r="B252" s="76">
        <v>1.101</v>
      </c>
      <c r="C252" s="58" t="s">
        <v>73</v>
      </c>
      <c r="D252" s="27"/>
      <c r="E252" s="27"/>
      <c r="F252" s="27"/>
      <c r="G252" s="27"/>
    </row>
    <row r="253" spans="1:7" s="65" customFormat="1" ht="28.15" customHeight="1">
      <c r="A253" s="62"/>
      <c r="B253" s="63">
        <v>11</v>
      </c>
      <c r="C253" s="64" t="s">
        <v>299</v>
      </c>
      <c r="D253" s="15"/>
      <c r="E253" s="15"/>
      <c r="F253" s="15"/>
      <c r="G253" s="15"/>
    </row>
    <row r="254" spans="1:7">
      <c r="B254" s="29" t="s">
        <v>140</v>
      </c>
      <c r="C254" s="134" t="s">
        <v>468</v>
      </c>
      <c r="D254" s="15">
        <v>2918</v>
      </c>
      <c r="E254" s="15">
        <v>8754</v>
      </c>
      <c r="F254" s="11">
        <v>0</v>
      </c>
      <c r="G254" s="15">
        <v>1</v>
      </c>
    </row>
    <row r="255" spans="1:7" ht="15" customHeight="1">
      <c r="B255" s="29" t="s">
        <v>141</v>
      </c>
      <c r="C255" s="123" t="s">
        <v>142</v>
      </c>
      <c r="D255" s="15">
        <v>65725</v>
      </c>
      <c r="E255" s="15">
        <v>180000</v>
      </c>
      <c r="F255" s="15">
        <f>180000-104952</f>
        <v>75048</v>
      </c>
      <c r="G255" s="15">
        <v>213793</v>
      </c>
    </row>
    <row r="256" spans="1:7">
      <c r="B256" s="29" t="s">
        <v>209</v>
      </c>
      <c r="C256" s="134" t="s">
        <v>210</v>
      </c>
      <c r="D256" s="15">
        <v>324</v>
      </c>
      <c r="E256" s="15">
        <v>937</v>
      </c>
      <c r="F256" s="15">
        <v>937</v>
      </c>
      <c r="G256" s="15">
        <v>1</v>
      </c>
    </row>
    <row r="257" spans="1:7" ht="15" customHeight="1">
      <c r="B257" s="29" t="s">
        <v>211</v>
      </c>
      <c r="C257" s="123" t="s">
        <v>212</v>
      </c>
      <c r="D257" s="15">
        <v>7303</v>
      </c>
      <c r="E257" s="15">
        <v>9000</v>
      </c>
      <c r="F257" s="15">
        <v>9000</v>
      </c>
      <c r="G257" s="15">
        <v>14000</v>
      </c>
    </row>
    <row r="258" spans="1:7" ht="28.15" customHeight="1">
      <c r="A258" s="62" t="s">
        <v>5</v>
      </c>
      <c r="B258" s="63">
        <v>11</v>
      </c>
      <c r="C258" s="64" t="s">
        <v>299</v>
      </c>
      <c r="D258" s="10">
        <f t="shared" ref="D258:F258" si="41">SUM(D254:D257)</f>
        <v>76270</v>
      </c>
      <c r="E258" s="10">
        <f>SUM(E254:E257)</f>
        <v>198691</v>
      </c>
      <c r="F258" s="10">
        <f t="shared" si="41"/>
        <v>84985</v>
      </c>
      <c r="G258" s="10">
        <v>227795</v>
      </c>
    </row>
    <row r="259" spans="1:7" ht="9" customHeight="1">
      <c r="C259" s="123"/>
      <c r="D259" s="11"/>
      <c r="E259" s="15"/>
      <c r="F259" s="15"/>
      <c r="G259" s="15"/>
    </row>
    <row r="260" spans="1:7" ht="15" customHeight="1">
      <c r="B260" s="29">
        <v>12</v>
      </c>
      <c r="C260" s="123" t="s">
        <v>143</v>
      </c>
      <c r="D260" s="15"/>
      <c r="E260" s="15"/>
      <c r="F260" s="15"/>
      <c r="G260" s="15"/>
    </row>
    <row r="261" spans="1:7" ht="15" customHeight="1">
      <c r="B261" s="29">
        <v>67</v>
      </c>
      <c r="C261" s="123" t="s">
        <v>72</v>
      </c>
      <c r="D261" s="15"/>
      <c r="E261" s="15"/>
      <c r="F261" s="15"/>
      <c r="G261" s="15"/>
    </row>
    <row r="262" spans="1:7" ht="25.5">
      <c r="B262" s="60" t="s">
        <v>148</v>
      </c>
      <c r="C262" s="123" t="s">
        <v>149</v>
      </c>
      <c r="D262" s="11">
        <v>0</v>
      </c>
      <c r="E262" s="15">
        <v>1</v>
      </c>
      <c r="F262" s="15">
        <v>1</v>
      </c>
      <c r="G262" s="2">
        <v>1</v>
      </c>
    </row>
    <row r="263" spans="1:7" s="65" customFormat="1" ht="25.5">
      <c r="A263" s="62"/>
      <c r="B263" s="107" t="s">
        <v>213</v>
      </c>
      <c r="C263" s="64" t="s">
        <v>214</v>
      </c>
      <c r="D263" s="11">
        <v>0</v>
      </c>
      <c r="E263" s="15">
        <v>1</v>
      </c>
      <c r="F263" s="15">
        <v>1</v>
      </c>
      <c r="G263" s="2">
        <v>1</v>
      </c>
    </row>
    <row r="264" spans="1:7" ht="15" customHeight="1">
      <c r="A264" s="28" t="s">
        <v>5</v>
      </c>
      <c r="B264" s="29">
        <v>67</v>
      </c>
      <c r="C264" s="123" t="s">
        <v>72</v>
      </c>
      <c r="D264" s="9">
        <f t="shared" ref="D264:F264" si="42">SUM(D262:D263)</f>
        <v>0</v>
      </c>
      <c r="E264" s="10">
        <f>SUM(E262:E263)</f>
        <v>2</v>
      </c>
      <c r="F264" s="10">
        <f t="shared" si="42"/>
        <v>2</v>
      </c>
      <c r="G264" s="10">
        <v>2</v>
      </c>
    </row>
    <row r="265" spans="1:7" s="69" customFormat="1" ht="15" customHeight="1">
      <c r="A265" s="62" t="s">
        <v>5</v>
      </c>
      <c r="B265" s="63">
        <v>12</v>
      </c>
      <c r="C265" s="64" t="s">
        <v>143</v>
      </c>
      <c r="D265" s="16">
        <f t="shared" ref="D265:F265" si="43">D264</f>
        <v>0</v>
      </c>
      <c r="E265" s="20">
        <f t="shared" si="43"/>
        <v>2</v>
      </c>
      <c r="F265" s="20">
        <f t="shared" si="43"/>
        <v>2</v>
      </c>
      <c r="G265" s="20">
        <v>2</v>
      </c>
    </row>
    <row r="266" spans="1:7" ht="11.25" customHeight="1">
      <c r="B266" s="76"/>
      <c r="C266" s="58"/>
      <c r="D266" s="27"/>
      <c r="E266" s="27"/>
      <c r="F266" s="27"/>
      <c r="G266" s="27"/>
    </row>
    <row r="267" spans="1:7" ht="15" customHeight="1">
      <c r="B267" s="29">
        <v>66</v>
      </c>
      <c r="C267" s="123" t="s">
        <v>71</v>
      </c>
      <c r="D267" s="27"/>
      <c r="E267" s="27"/>
      <c r="F267" s="27"/>
      <c r="G267" s="27"/>
    </row>
    <row r="268" spans="1:7" ht="15" customHeight="1">
      <c r="B268" s="29">
        <v>44</v>
      </c>
      <c r="C268" s="123" t="s">
        <v>10</v>
      </c>
      <c r="D268" s="27"/>
      <c r="E268" s="27"/>
      <c r="F268" s="27"/>
      <c r="G268" s="27"/>
    </row>
    <row r="269" spans="1:7" ht="15" customHeight="1">
      <c r="A269" s="62"/>
      <c r="B269" s="107" t="s">
        <v>197</v>
      </c>
      <c r="C269" s="64" t="s">
        <v>32</v>
      </c>
      <c r="D269" s="15">
        <v>558</v>
      </c>
      <c r="E269" s="15">
        <v>2525</v>
      </c>
      <c r="F269" s="15">
        <v>2525</v>
      </c>
      <c r="G269" s="2">
        <v>2318</v>
      </c>
    </row>
    <row r="270" spans="1:7" ht="27" customHeight="1">
      <c r="B270" s="60" t="s">
        <v>127</v>
      </c>
      <c r="C270" s="123" t="s">
        <v>136</v>
      </c>
      <c r="D270" s="15">
        <v>67056</v>
      </c>
      <c r="E270" s="2">
        <v>200000</v>
      </c>
      <c r="F270" s="15">
        <v>200000</v>
      </c>
      <c r="G270" s="2">
        <v>150000</v>
      </c>
    </row>
    <row r="271" spans="1:7" ht="27" customHeight="1">
      <c r="B271" s="60" t="s">
        <v>254</v>
      </c>
      <c r="C271" s="123" t="s">
        <v>255</v>
      </c>
      <c r="D271" s="15">
        <v>20000</v>
      </c>
      <c r="E271" s="2">
        <v>79400</v>
      </c>
      <c r="F271" s="15">
        <v>79400</v>
      </c>
      <c r="G271" s="2">
        <v>39000</v>
      </c>
    </row>
    <row r="272" spans="1:7" ht="15" customHeight="1">
      <c r="A272" s="66" t="s">
        <v>5</v>
      </c>
      <c r="B272" s="71">
        <v>44</v>
      </c>
      <c r="C272" s="68" t="s">
        <v>10</v>
      </c>
      <c r="D272" s="10">
        <f t="shared" ref="D272:F272" si="44">SUM(D269:D271)</f>
        <v>87614</v>
      </c>
      <c r="E272" s="10">
        <f t="shared" si="44"/>
        <v>281925</v>
      </c>
      <c r="F272" s="10">
        <f t="shared" si="44"/>
        <v>281925</v>
      </c>
      <c r="G272" s="10">
        <v>191318</v>
      </c>
    </row>
    <row r="273" spans="1:7" ht="11.25" customHeight="1">
      <c r="C273" s="123"/>
      <c r="D273" s="27"/>
      <c r="E273" s="27"/>
      <c r="F273" s="27"/>
      <c r="G273" s="27"/>
    </row>
    <row r="274" spans="1:7" ht="14.45" customHeight="1">
      <c r="B274" s="29">
        <v>45</v>
      </c>
      <c r="C274" s="123" t="s">
        <v>283</v>
      </c>
      <c r="D274" s="27"/>
      <c r="E274" s="27"/>
      <c r="F274" s="27"/>
      <c r="G274" s="27"/>
    </row>
    <row r="275" spans="1:7" ht="14.45" customHeight="1">
      <c r="B275" s="60" t="s">
        <v>198</v>
      </c>
      <c r="C275" s="123" t="s">
        <v>32</v>
      </c>
      <c r="D275" s="20">
        <v>116</v>
      </c>
      <c r="E275" s="20">
        <v>117</v>
      </c>
      <c r="F275" s="20">
        <v>117</v>
      </c>
      <c r="G275" s="13">
        <v>117</v>
      </c>
    </row>
    <row r="276" spans="1:7" ht="14.45" customHeight="1">
      <c r="A276" s="28" t="s">
        <v>5</v>
      </c>
      <c r="B276" s="29">
        <v>45</v>
      </c>
      <c r="C276" s="123" t="s">
        <v>283</v>
      </c>
      <c r="D276" s="13">
        <f t="shared" ref="D276:F276" si="45">SUM(D275:D275)</f>
        <v>116</v>
      </c>
      <c r="E276" s="13">
        <f t="shared" si="45"/>
        <v>117</v>
      </c>
      <c r="F276" s="13">
        <f t="shared" si="45"/>
        <v>117</v>
      </c>
      <c r="G276" s="13">
        <v>117</v>
      </c>
    </row>
    <row r="277" spans="1:7" ht="11.25" customHeight="1">
      <c r="B277" s="84"/>
      <c r="C277" s="123"/>
      <c r="D277" s="27"/>
      <c r="E277" s="27"/>
      <c r="F277" s="27"/>
      <c r="G277" s="86"/>
    </row>
    <row r="278" spans="1:7" ht="14.45" customHeight="1">
      <c r="B278" s="29">
        <v>46</v>
      </c>
      <c r="C278" s="123" t="s">
        <v>284</v>
      </c>
      <c r="D278" s="27"/>
      <c r="E278" s="27"/>
      <c r="F278" s="27"/>
      <c r="G278" s="86"/>
    </row>
    <row r="279" spans="1:7" ht="14.45" customHeight="1">
      <c r="B279" s="60" t="s">
        <v>199</v>
      </c>
      <c r="C279" s="123" t="s">
        <v>32</v>
      </c>
      <c r="D279" s="20">
        <v>954</v>
      </c>
      <c r="E279" s="20">
        <v>1943</v>
      </c>
      <c r="F279" s="20">
        <v>1943</v>
      </c>
      <c r="G279" s="13">
        <v>726</v>
      </c>
    </row>
    <row r="280" spans="1:7" ht="14.45" customHeight="1">
      <c r="A280" s="28" t="s">
        <v>5</v>
      </c>
      <c r="B280" s="29">
        <v>46</v>
      </c>
      <c r="C280" s="123" t="s">
        <v>284</v>
      </c>
      <c r="D280" s="13">
        <f t="shared" ref="D280:F280" si="46">SUM(D279:D279)</f>
        <v>954</v>
      </c>
      <c r="E280" s="13">
        <f t="shared" si="46"/>
        <v>1943</v>
      </c>
      <c r="F280" s="13">
        <f t="shared" si="46"/>
        <v>1943</v>
      </c>
      <c r="G280" s="13">
        <v>726</v>
      </c>
    </row>
    <row r="281" spans="1:7" ht="10.5" customHeight="1">
      <c r="B281" s="60"/>
      <c r="C281" s="123"/>
      <c r="D281" s="27"/>
      <c r="E281" s="27"/>
      <c r="F281" s="27"/>
      <c r="G281" s="86"/>
    </row>
    <row r="282" spans="1:7" ht="14.45" customHeight="1">
      <c r="B282" s="29">
        <v>47</v>
      </c>
      <c r="C282" s="123" t="s">
        <v>285</v>
      </c>
      <c r="D282" s="27"/>
      <c r="E282" s="27"/>
      <c r="F282" s="27"/>
      <c r="G282" s="86"/>
    </row>
    <row r="283" spans="1:7" ht="14.45" customHeight="1">
      <c r="B283" s="60" t="s">
        <v>200</v>
      </c>
      <c r="C283" s="123" t="s">
        <v>32</v>
      </c>
      <c r="D283" s="20">
        <v>1558</v>
      </c>
      <c r="E283" s="20">
        <v>1558</v>
      </c>
      <c r="F283" s="20">
        <v>1558</v>
      </c>
      <c r="G283" s="13">
        <v>1558</v>
      </c>
    </row>
    <row r="284" spans="1:7" ht="14.45" customHeight="1">
      <c r="A284" s="28" t="s">
        <v>5</v>
      </c>
      <c r="B284" s="29">
        <v>47</v>
      </c>
      <c r="C284" s="123" t="s">
        <v>285</v>
      </c>
      <c r="D284" s="13">
        <f t="shared" ref="D284:F284" si="47">SUM(D283:D283)</f>
        <v>1558</v>
      </c>
      <c r="E284" s="13">
        <f t="shared" si="47"/>
        <v>1558</v>
      </c>
      <c r="F284" s="13">
        <f t="shared" si="47"/>
        <v>1558</v>
      </c>
      <c r="G284" s="13">
        <v>1558</v>
      </c>
    </row>
    <row r="285" spans="1:7" ht="14.45" customHeight="1">
      <c r="A285" s="28" t="s">
        <v>5</v>
      </c>
      <c r="B285" s="29">
        <v>66</v>
      </c>
      <c r="C285" s="123" t="s">
        <v>71</v>
      </c>
      <c r="D285" s="10">
        <f t="shared" ref="D285:F285" si="48">D272+D276+D280+D284</f>
        <v>90242</v>
      </c>
      <c r="E285" s="10">
        <f t="shared" si="48"/>
        <v>285543</v>
      </c>
      <c r="F285" s="10">
        <f t="shared" si="48"/>
        <v>285543</v>
      </c>
      <c r="G285" s="10">
        <v>193719</v>
      </c>
    </row>
    <row r="286" spans="1:7" ht="10.5" customHeight="1">
      <c r="C286" s="123"/>
      <c r="D286" s="15"/>
      <c r="E286" s="15"/>
      <c r="F286" s="15"/>
      <c r="G286" s="15"/>
    </row>
    <row r="287" spans="1:7" ht="14.45" customHeight="1">
      <c r="B287" s="29">
        <v>68</v>
      </c>
      <c r="C287" s="123" t="s">
        <v>270</v>
      </c>
      <c r="D287" s="15"/>
      <c r="E287" s="15"/>
      <c r="F287" s="15"/>
      <c r="G287" s="15"/>
    </row>
    <row r="288" spans="1:7" ht="14.45" customHeight="1">
      <c r="B288" s="29" t="s">
        <v>271</v>
      </c>
      <c r="C288" s="123" t="s">
        <v>12</v>
      </c>
      <c r="D288" s="15">
        <v>3839</v>
      </c>
      <c r="E288" s="15">
        <v>4909</v>
      </c>
      <c r="F288" s="15">
        <f>4909-1119</f>
        <v>3790</v>
      </c>
      <c r="G288" s="15">
        <v>2361</v>
      </c>
    </row>
    <row r="289" spans="1:7" s="47" customFormat="1" ht="14.45" customHeight="1">
      <c r="A289" s="43"/>
      <c r="B289" s="44" t="s">
        <v>359</v>
      </c>
      <c r="C289" s="43" t="s">
        <v>312</v>
      </c>
      <c r="D289" s="1">
        <v>0</v>
      </c>
      <c r="E289" s="2">
        <v>1</v>
      </c>
      <c r="F289" s="2">
        <v>1</v>
      </c>
      <c r="G289" s="2">
        <v>118</v>
      </c>
    </row>
    <row r="290" spans="1:7" s="110" customFormat="1" ht="14.45" customHeight="1">
      <c r="A290" s="108"/>
      <c r="B290" s="109" t="s">
        <v>360</v>
      </c>
      <c r="C290" s="108" t="s">
        <v>313</v>
      </c>
      <c r="D290" s="1">
        <v>0</v>
      </c>
      <c r="E290" s="2">
        <v>1</v>
      </c>
      <c r="F290" s="2">
        <v>1</v>
      </c>
      <c r="G290" s="2">
        <v>1877</v>
      </c>
    </row>
    <row r="291" spans="1:7" ht="41.45" customHeight="1">
      <c r="B291" s="29" t="s">
        <v>406</v>
      </c>
      <c r="C291" s="123" t="s">
        <v>407</v>
      </c>
      <c r="D291" s="20">
        <v>3000</v>
      </c>
      <c r="E291" s="20">
        <v>4000</v>
      </c>
      <c r="F291" s="20">
        <v>4000</v>
      </c>
      <c r="G291" s="16">
        <v>0</v>
      </c>
    </row>
    <row r="292" spans="1:7" ht="14.45" customHeight="1">
      <c r="A292" s="28" t="s">
        <v>5</v>
      </c>
      <c r="B292" s="29">
        <v>68</v>
      </c>
      <c r="C292" s="123" t="s">
        <v>270</v>
      </c>
      <c r="D292" s="20">
        <f t="shared" ref="D292:F292" si="49">SUM(D288:D291)</f>
        <v>6839</v>
      </c>
      <c r="E292" s="20">
        <f t="shared" si="49"/>
        <v>8911</v>
      </c>
      <c r="F292" s="20">
        <f t="shared" si="49"/>
        <v>7792</v>
      </c>
      <c r="G292" s="20">
        <v>4356</v>
      </c>
    </row>
    <row r="293" spans="1:7" ht="15" customHeight="1">
      <c r="A293" s="28" t="s">
        <v>5</v>
      </c>
      <c r="B293" s="76">
        <v>1.101</v>
      </c>
      <c r="C293" s="58" t="s">
        <v>73</v>
      </c>
      <c r="D293" s="13">
        <f t="shared" ref="D293:F293" si="50">D285+D265+D258+D292</f>
        <v>173351</v>
      </c>
      <c r="E293" s="13">
        <f t="shared" si="50"/>
        <v>493147</v>
      </c>
      <c r="F293" s="13">
        <f t="shared" si="50"/>
        <v>378322</v>
      </c>
      <c r="G293" s="13">
        <v>425872</v>
      </c>
    </row>
    <row r="294" spans="1:7" ht="9.75" customHeight="1">
      <c r="B294" s="57"/>
      <c r="C294" s="58"/>
      <c r="D294" s="27"/>
      <c r="E294" s="27"/>
      <c r="F294" s="27"/>
      <c r="G294" s="27"/>
    </row>
    <row r="295" spans="1:7" ht="15" customHeight="1">
      <c r="B295" s="76">
        <v>1.1020000000000001</v>
      </c>
      <c r="C295" s="58" t="s">
        <v>74</v>
      </c>
      <c r="D295" s="27"/>
      <c r="E295" s="27"/>
      <c r="F295" s="27"/>
      <c r="G295" s="27"/>
    </row>
    <row r="296" spans="1:7" ht="15" customHeight="1">
      <c r="B296" s="29">
        <v>69</v>
      </c>
      <c r="C296" s="123" t="s">
        <v>75</v>
      </c>
      <c r="D296" s="27"/>
      <c r="E296" s="27"/>
      <c r="F296" s="27"/>
      <c r="G296" s="27"/>
    </row>
    <row r="297" spans="1:7" ht="15" customHeight="1">
      <c r="B297" s="29">
        <v>45</v>
      </c>
      <c r="C297" s="123" t="s">
        <v>283</v>
      </c>
      <c r="D297" s="27"/>
      <c r="E297" s="27"/>
      <c r="F297" s="27"/>
      <c r="G297" s="27"/>
    </row>
    <row r="298" spans="1:7" ht="15" customHeight="1">
      <c r="A298" s="62"/>
      <c r="B298" s="107" t="s">
        <v>76</v>
      </c>
      <c r="C298" s="64" t="s">
        <v>12</v>
      </c>
      <c r="D298" s="2">
        <v>21171</v>
      </c>
      <c r="E298" s="2">
        <v>23147</v>
      </c>
      <c r="F298" s="2">
        <f>23147-493</f>
        <v>22654</v>
      </c>
      <c r="G298" s="2">
        <v>14381</v>
      </c>
    </row>
    <row r="299" spans="1:7" s="65" customFormat="1" ht="15" customHeight="1">
      <c r="A299" s="62"/>
      <c r="B299" s="107" t="s">
        <v>310</v>
      </c>
      <c r="C299" s="64" t="s">
        <v>32</v>
      </c>
      <c r="D299" s="1">
        <v>0</v>
      </c>
      <c r="E299" s="2">
        <v>108</v>
      </c>
      <c r="F299" s="2">
        <v>108</v>
      </c>
      <c r="G299" s="2">
        <v>108</v>
      </c>
    </row>
    <row r="300" spans="1:7" s="47" customFormat="1" ht="14.1" customHeight="1">
      <c r="A300" s="43"/>
      <c r="B300" s="44" t="s">
        <v>362</v>
      </c>
      <c r="C300" s="43" t="s">
        <v>312</v>
      </c>
      <c r="D300" s="1">
        <v>0</v>
      </c>
      <c r="E300" s="2">
        <v>1</v>
      </c>
      <c r="F300" s="2">
        <v>1</v>
      </c>
      <c r="G300" s="2">
        <v>719</v>
      </c>
    </row>
    <row r="301" spans="1:7" s="110" customFormat="1" ht="14.1" customHeight="1">
      <c r="A301" s="108"/>
      <c r="B301" s="109" t="s">
        <v>361</v>
      </c>
      <c r="C301" s="108" t="s">
        <v>313</v>
      </c>
      <c r="D301" s="1">
        <v>0</v>
      </c>
      <c r="E301" s="2">
        <v>1</v>
      </c>
      <c r="F301" s="2">
        <v>1</v>
      </c>
      <c r="G301" s="2">
        <v>11783</v>
      </c>
    </row>
    <row r="302" spans="1:7" ht="14.1" customHeight="1">
      <c r="B302" s="60" t="s">
        <v>77</v>
      </c>
      <c r="C302" s="43" t="s">
        <v>314</v>
      </c>
      <c r="D302" s="2">
        <v>75</v>
      </c>
      <c r="E302" s="2">
        <v>75</v>
      </c>
      <c r="F302" s="2">
        <v>75</v>
      </c>
      <c r="G302" s="7">
        <v>75</v>
      </c>
    </row>
    <row r="303" spans="1:7" ht="14.1" customHeight="1">
      <c r="B303" s="60" t="s">
        <v>78</v>
      </c>
      <c r="C303" s="123" t="s">
        <v>16</v>
      </c>
      <c r="D303" s="2">
        <v>99</v>
      </c>
      <c r="E303" s="2">
        <v>99</v>
      </c>
      <c r="F303" s="2">
        <v>99</v>
      </c>
      <c r="G303" s="2">
        <v>99</v>
      </c>
    </row>
    <row r="304" spans="1:7" s="69" customFormat="1" ht="14.1" customHeight="1">
      <c r="A304" s="28" t="s">
        <v>5</v>
      </c>
      <c r="B304" s="29">
        <v>45</v>
      </c>
      <c r="C304" s="123" t="s">
        <v>283</v>
      </c>
      <c r="D304" s="4">
        <f t="shared" ref="D304:F304" si="51">SUM(D298:D303)</f>
        <v>21345</v>
      </c>
      <c r="E304" s="4">
        <f t="shared" si="51"/>
        <v>23431</v>
      </c>
      <c r="F304" s="4">
        <f t="shared" si="51"/>
        <v>22938</v>
      </c>
      <c r="G304" s="4">
        <v>27165</v>
      </c>
    </row>
    <row r="305" spans="1:7" ht="14.1" customHeight="1">
      <c r="C305" s="123"/>
      <c r="D305" s="27"/>
      <c r="E305" s="27"/>
      <c r="F305" s="8"/>
      <c r="G305" s="27"/>
    </row>
    <row r="306" spans="1:7" ht="14.1" customHeight="1">
      <c r="B306" s="85">
        <v>46</v>
      </c>
      <c r="C306" s="123" t="s">
        <v>284</v>
      </c>
      <c r="D306" s="27"/>
      <c r="E306" s="27"/>
      <c r="F306" s="27"/>
      <c r="G306" s="27"/>
    </row>
    <row r="307" spans="1:7" ht="14.1" customHeight="1">
      <c r="B307" s="60" t="s">
        <v>79</v>
      </c>
      <c r="C307" s="123" t="s">
        <v>12</v>
      </c>
      <c r="D307" s="2">
        <v>11989</v>
      </c>
      <c r="E307" s="2">
        <v>11600</v>
      </c>
      <c r="F307" s="2">
        <v>11600</v>
      </c>
      <c r="G307" s="7">
        <v>7530</v>
      </c>
    </row>
    <row r="308" spans="1:7" s="47" customFormat="1" ht="14.1" customHeight="1">
      <c r="A308" s="43"/>
      <c r="B308" s="44" t="s">
        <v>363</v>
      </c>
      <c r="C308" s="43" t="s">
        <v>312</v>
      </c>
      <c r="D308" s="1">
        <v>0</v>
      </c>
      <c r="E308" s="2">
        <v>1</v>
      </c>
      <c r="F308" s="2">
        <v>1</v>
      </c>
      <c r="G308" s="2">
        <v>376</v>
      </c>
    </row>
    <row r="309" spans="1:7" s="47" customFormat="1" ht="14.1" customHeight="1">
      <c r="A309" s="108"/>
      <c r="B309" s="109" t="s">
        <v>364</v>
      </c>
      <c r="C309" s="108" t="s">
        <v>313</v>
      </c>
      <c r="D309" s="1">
        <v>0</v>
      </c>
      <c r="E309" s="2">
        <v>1</v>
      </c>
      <c r="F309" s="2">
        <v>1</v>
      </c>
      <c r="G309" s="2">
        <v>6054</v>
      </c>
    </row>
    <row r="310" spans="1:7" ht="14.45" customHeight="1">
      <c r="B310" s="60" t="s">
        <v>80</v>
      </c>
      <c r="C310" s="43" t="s">
        <v>314</v>
      </c>
      <c r="D310" s="2">
        <v>42</v>
      </c>
      <c r="E310" s="2">
        <v>42</v>
      </c>
      <c r="F310" s="2">
        <v>42</v>
      </c>
      <c r="G310" s="7">
        <v>42</v>
      </c>
    </row>
    <row r="311" spans="1:7" ht="14.45" customHeight="1">
      <c r="B311" s="60" t="s">
        <v>81</v>
      </c>
      <c r="C311" s="123" t="s">
        <v>16</v>
      </c>
      <c r="D311" s="2">
        <v>94</v>
      </c>
      <c r="E311" s="2">
        <v>94</v>
      </c>
      <c r="F311" s="2">
        <v>94</v>
      </c>
      <c r="G311" s="7">
        <v>94</v>
      </c>
    </row>
    <row r="312" spans="1:7" ht="14.45" customHeight="1">
      <c r="A312" s="62" t="s">
        <v>5</v>
      </c>
      <c r="B312" s="112">
        <v>46</v>
      </c>
      <c r="C312" s="64" t="s">
        <v>284</v>
      </c>
      <c r="D312" s="4">
        <f t="shared" ref="D312:F312" si="52">SUM(D307:D311)</f>
        <v>12125</v>
      </c>
      <c r="E312" s="4">
        <f t="shared" si="52"/>
        <v>11738</v>
      </c>
      <c r="F312" s="4">
        <f t="shared" si="52"/>
        <v>11738</v>
      </c>
      <c r="G312" s="4">
        <v>14096</v>
      </c>
    </row>
    <row r="313" spans="1:7" ht="12" customHeight="1">
      <c r="B313" s="85"/>
      <c r="C313" s="123"/>
      <c r="D313" s="27"/>
      <c r="E313" s="27"/>
      <c r="F313" s="27"/>
      <c r="G313" s="27"/>
    </row>
    <row r="314" spans="1:7" ht="14.45" customHeight="1">
      <c r="B314" s="85">
        <v>47</v>
      </c>
      <c r="C314" s="123" t="s">
        <v>285</v>
      </c>
      <c r="D314" s="27"/>
      <c r="E314" s="27"/>
      <c r="F314" s="27"/>
      <c r="G314" s="27"/>
    </row>
    <row r="315" spans="1:7" ht="14.45" customHeight="1">
      <c r="B315" s="60" t="s">
        <v>82</v>
      </c>
      <c r="C315" s="123" t="s">
        <v>12</v>
      </c>
      <c r="D315" s="2">
        <v>8380</v>
      </c>
      <c r="E315" s="2">
        <v>10115</v>
      </c>
      <c r="F315" s="2">
        <v>10115</v>
      </c>
      <c r="G315" s="7">
        <v>5990</v>
      </c>
    </row>
    <row r="316" spans="1:7" ht="14.45" customHeight="1">
      <c r="B316" s="60" t="s">
        <v>311</v>
      </c>
      <c r="C316" s="123" t="s">
        <v>32</v>
      </c>
      <c r="D316" s="1">
        <v>0</v>
      </c>
      <c r="E316" s="2">
        <v>252</v>
      </c>
      <c r="F316" s="2">
        <v>252</v>
      </c>
      <c r="G316" s="1">
        <v>0</v>
      </c>
    </row>
    <row r="317" spans="1:7" s="47" customFormat="1" ht="14.45" customHeight="1">
      <c r="A317" s="43"/>
      <c r="B317" s="44" t="s">
        <v>365</v>
      </c>
      <c r="C317" s="43" t="s">
        <v>312</v>
      </c>
      <c r="D317" s="1">
        <v>0</v>
      </c>
      <c r="E317" s="2">
        <v>1</v>
      </c>
      <c r="F317" s="2">
        <v>1</v>
      </c>
      <c r="G317" s="2">
        <v>300</v>
      </c>
    </row>
    <row r="318" spans="1:7" s="47" customFormat="1" ht="14.45" customHeight="1">
      <c r="A318" s="52"/>
      <c r="B318" s="53" t="s">
        <v>366</v>
      </c>
      <c r="C318" s="52" t="s">
        <v>313</v>
      </c>
      <c r="D318" s="12">
        <v>0</v>
      </c>
      <c r="E318" s="13">
        <v>1</v>
      </c>
      <c r="F318" s="13">
        <v>1</v>
      </c>
      <c r="G318" s="13">
        <v>4799</v>
      </c>
    </row>
    <row r="319" spans="1:7" s="47" customFormat="1" ht="14.45" customHeight="1">
      <c r="A319" s="108"/>
      <c r="B319" s="109"/>
      <c r="C319" s="108"/>
      <c r="D319" s="1"/>
      <c r="E319" s="2"/>
      <c r="F319" s="2"/>
      <c r="G319" s="2"/>
    </row>
    <row r="320" spans="1:7" ht="14.45" customHeight="1">
      <c r="B320" s="60" t="s">
        <v>83</v>
      </c>
      <c r="C320" s="43" t="s">
        <v>314</v>
      </c>
      <c r="D320" s="2">
        <v>42</v>
      </c>
      <c r="E320" s="2">
        <v>42</v>
      </c>
      <c r="F320" s="2">
        <v>42</v>
      </c>
      <c r="G320" s="7">
        <v>42</v>
      </c>
    </row>
    <row r="321" spans="1:7" ht="14.45" customHeight="1">
      <c r="B321" s="60" t="s">
        <v>84</v>
      </c>
      <c r="C321" s="123" t="s">
        <v>16</v>
      </c>
      <c r="D321" s="2">
        <v>94</v>
      </c>
      <c r="E321" s="2">
        <v>94</v>
      </c>
      <c r="F321" s="2">
        <v>94</v>
      </c>
      <c r="G321" s="2">
        <v>94</v>
      </c>
    </row>
    <row r="322" spans="1:7" ht="14.45" customHeight="1">
      <c r="A322" s="28" t="s">
        <v>5</v>
      </c>
      <c r="B322" s="85">
        <v>47</v>
      </c>
      <c r="C322" s="123" t="s">
        <v>285</v>
      </c>
      <c r="D322" s="4">
        <f t="shared" ref="D322:F322" si="53">SUM(D315:D321)</f>
        <v>8516</v>
      </c>
      <c r="E322" s="4">
        <f t="shared" si="53"/>
        <v>10505</v>
      </c>
      <c r="F322" s="4">
        <f t="shared" si="53"/>
        <v>10505</v>
      </c>
      <c r="G322" s="4">
        <v>11225</v>
      </c>
    </row>
    <row r="323" spans="1:7" ht="12" customHeight="1">
      <c r="B323" s="85"/>
      <c r="C323" s="123"/>
      <c r="D323" s="27"/>
      <c r="E323" s="27"/>
      <c r="F323" s="27"/>
      <c r="G323" s="27"/>
    </row>
    <row r="324" spans="1:7" ht="14.45" customHeight="1">
      <c r="B324" s="85">
        <v>48</v>
      </c>
      <c r="C324" s="123" t="s">
        <v>286</v>
      </c>
      <c r="D324" s="27"/>
      <c r="E324" s="27"/>
      <c r="F324" s="27"/>
      <c r="G324" s="27"/>
    </row>
    <row r="325" spans="1:7" ht="14.45" customHeight="1">
      <c r="B325" s="60" t="s">
        <v>85</v>
      </c>
      <c r="C325" s="123" t="s">
        <v>12</v>
      </c>
      <c r="D325" s="2">
        <v>9124</v>
      </c>
      <c r="E325" s="2">
        <v>8875</v>
      </c>
      <c r="F325" s="2">
        <v>8875</v>
      </c>
      <c r="G325" s="2">
        <v>5586</v>
      </c>
    </row>
    <row r="326" spans="1:7" s="47" customFormat="1" ht="14.45" customHeight="1">
      <c r="A326" s="43"/>
      <c r="B326" s="44" t="s">
        <v>367</v>
      </c>
      <c r="C326" s="43" t="s">
        <v>312</v>
      </c>
      <c r="D326" s="1">
        <v>0</v>
      </c>
      <c r="E326" s="2">
        <v>1</v>
      </c>
      <c r="F326" s="2">
        <v>1</v>
      </c>
      <c r="G326" s="2">
        <v>279</v>
      </c>
    </row>
    <row r="327" spans="1:7" s="47" customFormat="1" ht="14.45" customHeight="1">
      <c r="A327" s="43"/>
      <c r="B327" s="44" t="s">
        <v>368</v>
      </c>
      <c r="C327" s="43" t="s">
        <v>313</v>
      </c>
      <c r="D327" s="1">
        <v>0</v>
      </c>
      <c r="E327" s="2">
        <v>1</v>
      </c>
      <c r="F327" s="2">
        <v>1</v>
      </c>
      <c r="G327" s="2">
        <v>4497</v>
      </c>
    </row>
    <row r="328" spans="1:7" ht="14.45" customHeight="1">
      <c r="B328" s="60" t="s">
        <v>86</v>
      </c>
      <c r="C328" s="43" t="s">
        <v>314</v>
      </c>
      <c r="D328" s="2">
        <v>42</v>
      </c>
      <c r="E328" s="2">
        <v>42</v>
      </c>
      <c r="F328" s="2">
        <v>42</v>
      </c>
      <c r="G328" s="2">
        <v>42</v>
      </c>
    </row>
    <row r="329" spans="1:7" ht="14.45" customHeight="1">
      <c r="B329" s="60" t="s">
        <v>87</v>
      </c>
      <c r="C329" s="123" t="s">
        <v>16</v>
      </c>
      <c r="D329" s="2">
        <v>93</v>
      </c>
      <c r="E329" s="2">
        <v>94</v>
      </c>
      <c r="F329" s="2">
        <v>94</v>
      </c>
      <c r="G329" s="2">
        <v>94</v>
      </c>
    </row>
    <row r="330" spans="1:7" s="65" customFormat="1" ht="14.45" customHeight="1">
      <c r="A330" s="28" t="s">
        <v>5</v>
      </c>
      <c r="B330" s="85">
        <v>48</v>
      </c>
      <c r="C330" s="123" t="s">
        <v>286</v>
      </c>
      <c r="D330" s="4">
        <f t="shared" ref="D330:F330" si="54">SUM(D325:D329)</f>
        <v>9259</v>
      </c>
      <c r="E330" s="4">
        <f t="shared" si="54"/>
        <v>9013</v>
      </c>
      <c r="F330" s="4">
        <f t="shared" si="54"/>
        <v>9013</v>
      </c>
      <c r="G330" s="4">
        <v>10498</v>
      </c>
    </row>
    <row r="331" spans="1:7" s="65" customFormat="1" ht="12" customHeight="1">
      <c r="A331" s="62"/>
      <c r="B331" s="112"/>
      <c r="C331" s="64"/>
      <c r="D331" s="2"/>
      <c r="E331" s="2"/>
      <c r="F331" s="2"/>
      <c r="G331" s="2"/>
    </row>
    <row r="332" spans="1:7" ht="14.45" customHeight="1">
      <c r="B332" s="85">
        <v>49</v>
      </c>
      <c r="C332" s="123" t="s">
        <v>292</v>
      </c>
      <c r="D332" s="27"/>
      <c r="E332" s="27"/>
      <c r="F332" s="27"/>
      <c r="G332" s="27"/>
    </row>
    <row r="333" spans="1:7" ht="14.45" customHeight="1">
      <c r="B333" s="60" t="s">
        <v>408</v>
      </c>
      <c r="C333" s="123" t="s">
        <v>12</v>
      </c>
      <c r="D333" s="1">
        <v>0</v>
      </c>
      <c r="E333" s="2">
        <v>1</v>
      </c>
      <c r="F333" s="2">
        <v>1</v>
      </c>
      <c r="G333" s="1">
        <v>0</v>
      </c>
    </row>
    <row r="334" spans="1:7" ht="14.45" customHeight="1">
      <c r="A334" s="62"/>
      <c r="B334" s="107" t="s">
        <v>409</v>
      </c>
      <c r="C334" s="108" t="s">
        <v>314</v>
      </c>
      <c r="D334" s="1">
        <v>0</v>
      </c>
      <c r="E334" s="2">
        <v>1</v>
      </c>
      <c r="F334" s="2">
        <v>1</v>
      </c>
      <c r="G334" s="1">
        <v>0</v>
      </c>
    </row>
    <row r="335" spans="1:7" ht="14.45" customHeight="1">
      <c r="B335" s="60" t="s">
        <v>413</v>
      </c>
      <c r="C335" s="123" t="s">
        <v>16</v>
      </c>
      <c r="D335" s="1">
        <v>0</v>
      </c>
      <c r="E335" s="2">
        <v>1</v>
      </c>
      <c r="F335" s="2">
        <v>1</v>
      </c>
      <c r="G335" s="1">
        <v>0</v>
      </c>
    </row>
    <row r="336" spans="1:7" ht="14.45" customHeight="1">
      <c r="A336" s="28" t="s">
        <v>5</v>
      </c>
      <c r="B336" s="85">
        <v>49</v>
      </c>
      <c r="C336" s="123" t="s">
        <v>292</v>
      </c>
      <c r="D336" s="3">
        <f t="shared" ref="D336:F336" si="55">SUM(D333:D335)</f>
        <v>0</v>
      </c>
      <c r="E336" s="4">
        <f t="shared" si="55"/>
        <v>3</v>
      </c>
      <c r="F336" s="4">
        <f t="shared" si="55"/>
        <v>3</v>
      </c>
      <c r="G336" s="3">
        <v>0</v>
      </c>
    </row>
    <row r="337" spans="1:7" ht="12" customHeight="1">
      <c r="B337" s="85"/>
      <c r="C337" s="123"/>
      <c r="D337" s="2"/>
      <c r="E337" s="2"/>
      <c r="F337" s="2"/>
      <c r="G337" s="2"/>
    </row>
    <row r="338" spans="1:7" ht="14.45" customHeight="1">
      <c r="B338" s="85">
        <v>50</v>
      </c>
      <c r="C338" s="123" t="s">
        <v>293</v>
      </c>
      <c r="D338" s="27"/>
      <c r="E338" s="27"/>
      <c r="F338" s="27"/>
      <c r="G338" s="27"/>
    </row>
    <row r="339" spans="1:7" ht="14.45" customHeight="1">
      <c r="B339" s="60" t="s">
        <v>410</v>
      </c>
      <c r="C339" s="123" t="s">
        <v>12</v>
      </c>
      <c r="D339" s="1">
        <v>0</v>
      </c>
      <c r="E339" s="2">
        <v>1</v>
      </c>
      <c r="F339" s="2">
        <v>1</v>
      </c>
      <c r="G339" s="1">
        <v>0</v>
      </c>
    </row>
    <row r="340" spans="1:7" ht="14.45" customHeight="1">
      <c r="B340" s="60" t="s">
        <v>411</v>
      </c>
      <c r="C340" s="43" t="s">
        <v>314</v>
      </c>
      <c r="D340" s="1">
        <v>0</v>
      </c>
      <c r="E340" s="2">
        <v>1</v>
      </c>
      <c r="F340" s="2">
        <v>1</v>
      </c>
      <c r="G340" s="1">
        <v>0</v>
      </c>
    </row>
    <row r="341" spans="1:7" ht="14.45" customHeight="1">
      <c r="B341" s="60" t="s">
        <v>412</v>
      </c>
      <c r="C341" s="123" t="s">
        <v>16</v>
      </c>
      <c r="D341" s="1">
        <v>0</v>
      </c>
      <c r="E341" s="2">
        <v>1</v>
      </c>
      <c r="F341" s="2">
        <v>1</v>
      </c>
      <c r="G341" s="1">
        <v>0</v>
      </c>
    </row>
    <row r="342" spans="1:7" ht="14.45" customHeight="1">
      <c r="A342" s="28" t="s">
        <v>5</v>
      </c>
      <c r="B342" s="85">
        <v>50</v>
      </c>
      <c r="C342" s="123" t="s">
        <v>293</v>
      </c>
      <c r="D342" s="3">
        <f t="shared" ref="D342:F342" si="56">SUM(D339:D341)</f>
        <v>0</v>
      </c>
      <c r="E342" s="4">
        <f t="shared" si="56"/>
        <v>3</v>
      </c>
      <c r="F342" s="4">
        <f t="shared" si="56"/>
        <v>3</v>
      </c>
      <c r="G342" s="3">
        <v>0</v>
      </c>
    </row>
    <row r="343" spans="1:7" ht="14.45" customHeight="1">
      <c r="A343" s="28" t="s">
        <v>5</v>
      </c>
      <c r="B343" s="85">
        <v>69</v>
      </c>
      <c r="C343" s="123" t="s">
        <v>75</v>
      </c>
      <c r="D343" s="4">
        <f t="shared" ref="D343:F343" si="57">D330+D322+D312+D304+D336+D342</f>
        <v>51245</v>
      </c>
      <c r="E343" s="4">
        <f t="shared" si="57"/>
        <v>54693</v>
      </c>
      <c r="F343" s="4">
        <f t="shared" si="57"/>
        <v>54200</v>
      </c>
      <c r="G343" s="4">
        <v>62984</v>
      </c>
    </row>
    <row r="344" spans="1:7" ht="12" customHeight="1">
      <c r="B344" s="85"/>
      <c r="C344" s="123"/>
      <c r="D344" s="27"/>
      <c r="E344" s="27"/>
      <c r="F344" s="27"/>
      <c r="G344" s="27"/>
    </row>
    <row r="345" spans="1:7" ht="14.45" customHeight="1">
      <c r="B345" s="29">
        <v>70</v>
      </c>
      <c r="C345" s="28" t="s">
        <v>130</v>
      </c>
      <c r="D345" s="27"/>
      <c r="E345" s="27"/>
      <c r="F345" s="27"/>
      <c r="G345" s="27"/>
    </row>
    <row r="346" spans="1:7" ht="14.45" customHeight="1">
      <c r="B346" s="85">
        <v>47</v>
      </c>
      <c r="C346" s="123" t="s">
        <v>285</v>
      </c>
      <c r="D346" s="27"/>
      <c r="E346" s="27"/>
      <c r="F346" s="27"/>
      <c r="G346" s="27"/>
    </row>
    <row r="347" spans="1:7" ht="14.45" customHeight="1">
      <c r="B347" s="60" t="s">
        <v>201</v>
      </c>
      <c r="C347" s="123" t="s">
        <v>32</v>
      </c>
      <c r="D347" s="15">
        <v>876</v>
      </c>
      <c r="E347" s="15">
        <v>1002</v>
      </c>
      <c r="F347" s="15">
        <v>1002</v>
      </c>
      <c r="G347" s="7">
        <v>1112</v>
      </c>
    </row>
    <row r="348" spans="1:7" s="65" customFormat="1" ht="14.45" customHeight="1">
      <c r="A348" s="62" t="s">
        <v>5</v>
      </c>
      <c r="B348" s="112">
        <v>47</v>
      </c>
      <c r="C348" s="64" t="s">
        <v>285</v>
      </c>
      <c r="D348" s="4">
        <f t="shared" ref="D348:F348" si="58">SUM(D347:D347)</f>
        <v>876</v>
      </c>
      <c r="E348" s="4">
        <f t="shared" si="58"/>
        <v>1002</v>
      </c>
      <c r="F348" s="4">
        <f t="shared" si="58"/>
        <v>1002</v>
      </c>
      <c r="G348" s="4">
        <v>1112</v>
      </c>
    </row>
    <row r="349" spans="1:7" s="65" customFormat="1" ht="12" customHeight="1">
      <c r="A349" s="62"/>
      <c r="B349" s="112"/>
      <c r="C349" s="64"/>
      <c r="D349" s="2"/>
      <c r="E349" s="2"/>
      <c r="F349" s="2"/>
      <c r="G349" s="2"/>
    </row>
    <row r="350" spans="1:7" ht="14.45" customHeight="1">
      <c r="B350" s="85">
        <v>61</v>
      </c>
      <c r="C350" s="123" t="s">
        <v>88</v>
      </c>
      <c r="D350" s="27"/>
      <c r="E350" s="27"/>
      <c r="F350" s="27"/>
      <c r="G350" s="27"/>
    </row>
    <row r="351" spans="1:7" ht="14.45" customHeight="1">
      <c r="B351" s="60" t="s">
        <v>89</v>
      </c>
      <c r="C351" s="123" t="s">
        <v>12</v>
      </c>
      <c r="D351" s="2">
        <v>10103</v>
      </c>
      <c r="E351" s="2">
        <v>11620</v>
      </c>
      <c r="F351" s="15">
        <f>11620-1085</f>
        <v>10535</v>
      </c>
      <c r="G351" s="2">
        <v>6410</v>
      </c>
    </row>
    <row r="352" spans="1:7" ht="14.45" customHeight="1">
      <c r="B352" s="60" t="s">
        <v>202</v>
      </c>
      <c r="C352" s="123" t="s">
        <v>32</v>
      </c>
      <c r="D352" s="15">
        <v>1428</v>
      </c>
      <c r="E352" s="15">
        <v>1436</v>
      </c>
      <c r="F352" s="15">
        <v>1436</v>
      </c>
      <c r="G352" s="7">
        <v>1327</v>
      </c>
    </row>
    <row r="353" spans="1:7" s="47" customFormat="1" ht="14.45" customHeight="1">
      <c r="A353" s="43"/>
      <c r="B353" s="44" t="s">
        <v>384</v>
      </c>
      <c r="C353" s="43" t="s">
        <v>312</v>
      </c>
      <c r="D353" s="1">
        <v>0</v>
      </c>
      <c r="E353" s="2">
        <v>1</v>
      </c>
      <c r="F353" s="2">
        <v>1</v>
      </c>
      <c r="G353" s="2">
        <v>321</v>
      </c>
    </row>
    <row r="354" spans="1:7" s="55" customFormat="1" ht="14.45" customHeight="1">
      <c r="A354" s="43"/>
      <c r="B354" s="44" t="s">
        <v>385</v>
      </c>
      <c r="C354" s="43" t="s">
        <v>313</v>
      </c>
      <c r="D354" s="12">
        <v>0</v>
      </c>
      <c r="E354" s="13">
        <v>1</v>
      </c>
      <c r="F354" s="13">
        <v>1</v>
      </c>
      <c r="G354" s="13">
        <v>5325</v>
      </c>
    </row>
    <row r="355" spans="1:7" ht="14.45" customHeight="1">
      <c r="A355" s="28" t="s">
        <v>5</v>
      </c>
      <c r="B355" s="85">
        <v>61</v>
      </c>
      <c r="C355" s="123" t="s">
        <v>88</v>
      </c>
      <c r="D355" s="20">
        <f t="shared" ref="D355:F355" si="59">SUM(D351:D354)</f>
        <v>11531</v>
      </c>
      <c r="E355" s="20">
        <f t="shared" si="59"/>
        <v>13058</v>
      </c>
      <c r="F355" s="20">
        <f t="shared" si="59"/>
        <v>11973</v>
      </c>
      <c r="G355" s="20">
        <v>13383</v>
      </c>
    </row>
    <row r="356" spans="1:7" ht="14.45" customHeight="1">
      <c r="A356" s="62" t="s">
        <v>5</v>
      </c>
      <c r="B356" s="63">
        <v>70</v>
      </c>
      <c r="C356" s="62" t="s">
        <v>130</v>
      </c>
      <c r="D356" s="4">
        <f t="shared" ref="D356:F356" si="60">D348+D355</f>
        <v>12407</v>
      </c>
      <c r="E356" s="4">
        <f t="shared" si="60"/>
        <v>14060</v>
      </c>
      <c r="F356" s="4">
        <f t="shared" si="60"/>
        <v>12975</v>
      </c>
      <c r="G356" s="4">
        <v>14495</v>
      </c>
    </row>
    <row r="357" spans="1:7" ht="12" customHeight="1">
      <c r="C357" s="28"/>
      <c r="D357" s="27"/>
      <c r="E357" s="27"/>
      <c r="F357" s="27"/>
      <c r="G357" s="27"/>
    </row>
    <row r="358" spans="1:7" ht="14.1" customHeight="1">
      <c r="B358" s="29">
        <v>71</v>
      </c>
      <c r="C358" s="123" t="s">
        <v>90</v>
      </c>
      <c r="D358" s="27"/>
      <c r="E358" s="27"/>
      <c r="F358" s="27"/>
      <c r="G358" s="27"/>
    </row>
    <row r="359" spans="1:7" ht="14.1" customHeight="1">
      <c r="B359" s="29">
        <v>45</v>
      </c>
      <c r="C359" s="123" t="s">
        <v>283</v>
      </c>
      <c r="D359" s="27"/>
      <c r="E359" s="27"/>
      <c r="F359" s="27"/>
      <c r="G359" s="27"/>
    </row>
    <row r="360" spans="1:7" ht="14.1" customHeight="1">
      <c r="A360" s="62"/>
      <c r="B360" s="107" t="s">
        <v>203</v>
      </c>
      <c r="C360" s="64" t="s">
        <v>32</v>
      </c>
      <c r="D360" s="2">
        <v>1645</v>
      </c>
      <c r="E360" s="2">
        <v>1234</v>
      </c>
      <c r="F360" s="15">
        <v>1234</v>
      </c>
      <c r="G360" s="2">
        <v>1015</v>
      </c>
    </row>
    <row r="361" spans="1:7" ht="14.1" customHeight="1">
      <c r="A361" s="62" t="s">
        <v>5</v>
      </c>
      <c r="B361" s="63">
        <v>45</v>
      </c>
      <c r="C361" s="64" t="s">
        <v>283</v>
      </c>
      <c r="D361" s="10">
        <f t="shared" ref="D361:F361" si="61">SUM(D360:D360)</f>
        <v>1645</v>
      </c>
      <c r="E361" s="10">
        <f t="shared" si="61"/>
        <v>1234</v>
      </c>
      <c r="F361" s="10">
        <f t="shared" si="61"/>
        <v>1234</v>
      </c>
      <c r="G361" s="10">
        <v>1015</v>
      </c>
    </row>
    <row r="362" spans="1:7" ht="14.1" customHeight="1">
      <c r="B362" s="60"/>
      <c r="C362" s="123"/>
      <c r="D362" s="27"/>
      <c r="E362" s="27"/>
      <c r="F362" s="27"/>
      <c r="G362" s="27"/>
    </row>
    <row r="363" spans="1:7" ht="14.1" customHeight="1">
      <c r="B363" s="29">
        <v>46</v>
      </c>
      <c r="C363" s="123" t="s">
        <v>284</v>
      </c>
      <c r="D363" s="27"/>
      <c r="E363" s="27"/>
      <c r="F363" s="27"/>
      <c r="G363" s="27"/>
    </row>
    <row r="364" spans="1:7" ht="14.1" customHeight="1">
      <c r="B364" s="60" t="s">
        <v>204</v>
      </c>
      <c r="C364" s="123" t="s">
        <v>32</v>
      </c>
      <c r="D364" s="13">
        <v>232</v>
      </c>
      <c r="E364" s="13">
        <v>464</v>
      </c>
      <c r="F364" s="20">
        <v>464</v>
      </c>
      <c r="G364" s="13">
        <v>232</v>
      </c>
    </row>
    <row r="365" spans="1:7" ht="14.1" customHeight="1">
      <c r="A365" s="66" t="s">
        <v>5</v>
      </c>
      <c r="B365" s="71">
        <v>46</v>
      </c>
      <c r="C365" s="68" t="s">
        <v>284</v>
      </c>
      <c r="D365" s="13">
        <f t="shared" ref="D365:F365" si="62">SUM(D364:D364)</f>
        <v>232</v>
      </c>
      <c r="E365" s="13">
        <f t="shared" si="62"/>
        <v>464</v>
      </c>
      <c r="F365" s="13">
        <f t="shared" si="62"/>
        <v>464</v>
      </c>
      <c r="G365" s="13">
        <v>232</v>
      </c>
    </row>
    <row r="366" spans="1:7" ht="14.1" customHeight="1">
      <c r="B366" s="60"/>
      <c r="C366" s="123"/>
      <c r="D366" s="27"/>
      <c r="E366" s="27"/>
      <c r="F366" s="27"/>
      <c r="G366" s="27"/>
    </row>
    <row r="367" spans="1:7" ht="14.1" customHeight="1">
      <c r="B367" s="29">
        <v>47</v>
      </c>
      <c r="C367" s="123" t="s">
        <v>285</v>
      </c>
      <c r="D367" s="27"/>
      <c r="E367" s="27"/>
      <c r="F367" s="27"/>
      <c r="G367" s="27"/>
    </row>
    <row r="368" spans="1:7" ht="14.1" customHeight="1">
      <c r="B368" s="60" t="s">
        <v>205</v>
      </c>
      <c r="C368" s="123" t="s">
        <v>32</v>
      </c>
      <c r="D368" s="13">
        <v>353</v>
      </c>
      <c r="E368" s="13">
        <v>164</v>
      </c>
      <c r="F368" s="20">
        <v>164</v>
      </c>
      <c r="G368" s="13">
        <v>354</v>
      </c>
    </row>
    <row r="369" spans="1:7" ht="14.1" customHeight="1">
      <c r="A369" s="28" t="s">
        <v>5</v>
      </c>
      <c r="B369" s="29">
        <v>47</v>
      </c>
      <c r="C369" s="123" t="s">
        <v>285</v>
      </c>
      <c r="D369" s="20">
        <f t="shared" ref="D369:F369" si="63">SUM(D368:D368)</f>
        <v>353</v>
      </c>
      <c r="E369" s="20">
        <f t="shared" si="63"/>
        <v>164</v>
      </c>
      <c r="F369" s="20">
        <f t="shared" si="63"/>
        <v>164</v>
      </c>
      <c r="G369" s="20">
        <v>354</v>
      </c>
    </row>
    <row r="370" spans="1:7" ht="14.1" customHeight="1">
      <c r="B370" s="60"/>
      <c r="C370" s="123"/>
      <c r="D370" s="27"/>
      <c r="E370" s="27"/>
      <c r="F370" s="27"/>
      <c r="G370" s="27"/>
    </row>
    <row r="371" spans="1:7" ht="14.1" customHeight="1">
      <c r="B371" s="29">
        <v>48</v>
      </c>
      <c r="C371" s="123" t="s">
        <v>286</v>
      </c>
      <c r="D371" s="27"/>
      <c r="E371" s="27"/>
      <c r="F371" s="27"/>
      <c r="G371" s="27"/>
    </row>
    <row r="372" spans="1:7" ht="14.1" customHeight="1">
      <c r="B372" s="60" t="s">
        <v>206</v>
      </c>
      <c r="C372" s="123" t="s">
        <v>32</v>
      </c>
      <c r="D372" s="2">
        <v>108</v>
      </c>
      <c r="E372" s="2">
        <v>1</v>
      </c>
      <c r="F372" s="15">
        <v>1</v>
      </c>
      <c r="G372" s="1">
        <v>0</v>
      </c>
    </row>
    <row r="373" spans="1:7" ht="14.1" customHeight="1">
      <c r="A373" s="28" t="s">
        <v>5</v>
      </c>
      <c r="B373" s="29">
        <v>48</v>
      </c>
      <c r="C373" s="123" t="s">
        <v>286</v>
      </c>
      <c r="D373" s="4">
        <f t="shared" ref="D373:F373" si="64">SUM(D372:D372)</f>
        <v>108</v>
      </c>
      <c r="E373" s="4">
        <f t="shared" si="64"/>
        <v>1</v>
      </c>
      <c r="F373" s="4">
        <f t="shared" si="64"/>
        <v>1</v>
      </c>
      <c r="G373" s="3">
        <v>0</v>
      </c>
    </row>
    <row r="374" spans="1:7" ht="14.1" customHeight="1">
      <c r="A374" s="28" t="s">
        <v>5</v>
      </c>
      <c r="B374" s="29">
        <v>71</v>
      </c>
      <c r="C374" s="123" t="s">
        <v>90</v>
      </c>
      <c r="D374" s="4">
        <f t="shared" ref="D374:F374" si="65">D373+D369+D365+D361</f>
        <v>2338</v>
      </c>
      <c r="E374" s="4">
        <f t="shared" si="65"/>
        <v>1863</v>
      </c>
      <c r="F374" s="4">
        <f t="shared" si="65"/>
        <v>1863</v>
      </c>
      <c r="G374" s="4">
        <v>1601</v>
      </c>
    </row>
    <row r="375" spans="1:7" s="69" customFormat="1" ht="14.1" customHeight="1">
      <c r="A375" s="28" t="s">
        <v>5</v>
      </c>
      <c r="B375" s="76">
        <v>1.1020000000000001</v>
      </c>
      <c r="C375" s="58" t="s">
        <v>74</v>
      </c>
      <c r="D375" s="4">
        <f t="shared" ref="D375:F375" si="66">D356+D374+D343</f>
        <v>65990</v>
      </c>
      <c r="E375" s="4">
        <f t="shared" si="66"/>
        <v>70616</v>
      </c>
      <c r="F375" s="4">
        <f t="shared" si="66"/>
        <v>69038</v>
      </c>
      <c r="G375" s="4">
        <v>79080</v>
      </c>
    </row>
    <row r="376" spans="1:7" ht="10.9" customHeight="1">
      <c r="B376" s="57"/>
      <c r="C376" s="58"/>
      <c r="D376" s="27"/>
      <c r="E376" s="27"/>
      <c r="F376" s="27"/>
      <c r="G376" s="27"/>
    </row>
    <row r="377" spans="1:7" ht="14.1" customHeight="1">
      <c r="B377" s="76">
        <v>1.105</v>
      </c>
      <c r="C377" s="58" t="s">
        <v>91</v>
      </c>
      <c r="D377" s="27"/>
      <c r="E377" s="27"/>
      <c r="F377" s="27"/>
      <c r="G377" s="27"/>
    </row>
    <row r="378" spans="1:7" ht="14.1" customHeight="1">
      <c r="A378" s="62"/>
      <c r="B378" s="101">
        <v>8</v>
      </c>
      <c r="C378" s="64" t="s">
        <v>243</v>
      </c>
      <c r="D378" s="1"/>
      <c r="E378" s="2"/>
      <c r="F378" s="2"/>
      <c r="G378" s="1"/>
    </row>
    <row r="379" spans="1:7" s="65" customFormat="1" ht="25.5">
      <c r="A379" s="62"/>
      <c r="B379" s="63" t="s">
        <v>239</v>
      </c>
      <c r="C379" s="64" t="s">
        <v>461</v>
      </c>
      <c r="D379" s="1">
        <v>0</v>
      </c>
      <c r="E379" s="2">
        <v>40448</v>
      </c>
      <c r="F379" s="2">
        <f>40448-18823</f>
        <v>21625</v>
      </c>
      <c r="G379" s="2">
        <v>1</v>
      </c>
    </row>
    <row r="380" spans="1:7" ht="25.5">
      <c r="B380" s="79" t="s">
        <v>275</v>
      </c>
      <c r="C380" s="123" t="s">
        <v>462</v>
      </c>
      <c r="D380" s="1">
        <v>0</v>
      </c>
      <c r="E380" s="2">
        <v>3370</v>
      </c>
      <c r="F380" s="2">
        <v>3370</v>
      </c>
      <c r="G380" s="2">
        <v>1</v>
      </c>
    </row>
    <row r="381" spans="1:7" ht="14.1" customHeight="1">
      <c r="A381" s="28" t="s">
        <v>5</v>
      </c>
      <c r="B381" s="79">
        <v>8</v>
      </c>
      <c r="C381" s="123" t="s">
        <v>243</v>
      </c>
      <c r="D381" s="3">
        <f t="shared" ref="D381:F381" si="67">SUM(D379:D380)</f>
        <v>0</v>
      </c>
      <c r="E381" s="4">
        <f>SUM(E379:E380)</f>
        <v>43818</v>
      </c>
      <c r="F381" s="4">
        <f t="shared" si="67"/>
        <v>24995</v>
      </c>
      <c r="G381" s="4">
        <v>2</v>
      </c>
    </row>
    <row r="382" spans="1:7">
      <c r="B382" s="76"/>
      <c r="C382" s="58"/>
      <c r="D382" s="27"/>
      <c r="E382" s="27"/>
      <c r="F382" s="27"/>
      <c r="G382" s="27"/>
    </row>
    <row r="383" spans="1:7" ht="15" customHeight="1">
      <c r="B383" s="29">
        <v>73</v>
      </c>
      <c r="C383" s="123" t="s">
        <v>92</v>
      </c>
      <c r="D383" s="27"/>
      <c r="E383" s="27"/>
      <c r="F383" s="27"/>
      <c r="G383" s="27"/>
    </row>
    <row r="384" spans="1:7" ht="15" customHeight="1">
      <c r="B384" s="29">
        <v>45</v>
      </c>
      <c r="C384" s="123" t="s">
        <v>283</v>
      </c>
      <c r="D384" s="27"/>
      <c r="E384" s="27"/>
      <c r="F384" s="27"/>
      <c r="G384" s="27"/>
    </row>
    <row r="385" spans="1:7" ht="15" customHeight="1">
      <c r="B385" s="60" t="s">
        <v>93</v>
      </c>
      <c r="C385" s="123" t="s">
        <v>12</v>
      </c>
      <c r="D385" s="15">
        <v>15593</v>
      </c>
      <c r="E385" s="2">
        <v>17662</v>
      </c>
      <c r="F385" s="2">
        <f>17662-1859</f>
        <v>15803</v>
      </c>
      <c r="G385" s="2">
        <v>9054</v>
      </c>
    </row>
    <row r="386" spans="1:7" ht="15" customHeight="1">
      <c r="B386" s="60" t="s">
        <v>147</v>
      </c>
      <c r="C386" s="123" t="s">
        <v>32</v>
      </c>
      <c r="D386" s="15">
        <v>1236</v>
      </c>
      <c r="E386" s="2">
        <v>1202</v>
      </c>
      <c r="F386" s="2">
        <v>1202</v>
      </c>
      <c r="G386" s="2">
        <v>1202</v>
      </c>
    </row>
    <row r="387" spans="1:7" s="47" customFormat="1" ht="14.65" customHeight="1">
      <c r="A387" s="43"/>
      <c r="B387" s="44" t="s">
        <v>369</v>
      </c>
      <c r="C387" s="43" t="s">
        <v>312</v>
      </c>
      <c r="D387" s="1">
        <v>0</v>
      </c>
      <c r="E387" s="2">
        <v>1</v>
      </c>
      <c r="F387" s="2">
        <v>1</v>
      </c>
      <c r="G387" s="2">
        <v>453</v>
      </c>
    </row>
    <row r="388" spans="1:7" s="47" customFormat="1" ht="14.65" customHeight="1">
      <c r="A388" s="43"/>
      <c r="B388" s="44" t="s">
        <v>370</v>
      </c>
      <c r="C388" s="43" t="s">
        <v>313</v>
      </c>
      <c r="D388" s="1">
        <v>0</v>
      </c>
      <c r="E388" s="2">
        <v>1</v>
      </c>
      <c r="F388" s="2">
        <v>1</v>
      </c>
      <c r="G388" s="2">
        <v>7684</v>
      </c>
    </row>
    <row r="389" spans="1:7" ht="15" customHeight="1">
      <c r="B389" s="60" t="s">
        <v>94</v>
      </c>
      <c r="C389" s="43" t="s">
        <v>314</v>
      </c>
      <c r="D389" s="15">
        <v>54</v>
      </c>
      <c r="E389" s="2">
        <v>54</v>
      </c>
      <c r="F389" s="2">
        <v>54</v>
      </c>
      <c r="G389" s="2">
        <v>54</v>
      </c>
    </row>
    <row r="390" spans="1:7" ht="15" customHeight="1">
      <c r="B390" s="60" t="s">
        <v>95</v>
      </c>
      <c r="C390" s="123" t="s">
        <v>16</v>
      </c>
      <c r="D390" s="15">
        <v>111</v>
      </c>
      <c r="E390" s="2">
        <v>111</v>
      </c>
      <c r="F390" s="2">
        <v>111</v>
      </c>
      <c r="G390" s="2">
        <v>111</v>
      </c>
    </row>
    <row r="391" spans="1:7" s="47" customFormat="1" ht="14.65" customHeight="1">
      <c r="A391" s="43"/>
      <c r="B391" s="44" t="s">
        <v>386</v>
      </c>
      <c r="C391" s="43" t="s">
        <v>350</v>
      </c>
      <c r="D391" s="1">
        <v>0</v>
      </c>
      <c r="E391" s="2">
        <v>1429</v>
      </c>
      <c r="F391" s="2">
        <v>1429</v>
      </c>
      <c r="G391" s="2">
        <v>1429</v>
      </c>
    </row>
    <row r="392" spans="1:7" ht="15" customHeight="1">
      <c r="B392" s="60" t="s">
        <v>96</v>
      </c>
      <c r="C392" s="123" t="s">
        <v>131</v>
      </c>
      <c r="D392" s="2">
        <v>1392</v>
      </c>
      <c r="E392" s="1">
        <v>0</v>
      </c>
      <c r="F392" s="1">
        <v>0</v>
      </c>
      <c r="G392" s="1">
        <v>0</v>
      </c>
    </row>
    <row r="393" spans="1:7" ht="15" customHeight="1">
      <c r="A393" s="28" t="s">
        <v>5</v>
      </c>
      <c r="B393" s="29">
        <v>73</v>
      </c>
      <c r="C393" s="123" t="s">
        <v>92</v>
      </c>
      <c r="D393" s="4">
        <f t="shared" ref="D393:F393" si="68">SUM(D385:D392)</f>
        <v>18386</v>
      </c>
      <c r="E393" s="4">
        <f t="shared" si="68"/>
        <v>20460</v>
      </c>
      <c r="F393" s="4">
        <f t="shared" si="68"/>
        <v>18601</v>
      </c>
      <c r="G393" s="4">
        <v>19987</v>
      </c>
    </row>
    <row r="394" spans="1:7" s="65" customFormat="1" ht="15" customHeight="1">
      <c r="A394" s="62" t="s">
        <v>5</v>
      </c>
      <c r="B394" s="113">
        <v>1.105</v>
      </c>
      <c r="C394" s="102" t="s">
        <v>91</v>
      </c>
      <c r="D394" s="4">
        <f t="shared" ref="D394:F394" si="69">D393+D381</f>
        <v>18386</v>
      </c>
      <c r="E394" s="4">
        <f t="shared" si="69"/>
        <v>64278</v>
      </c>
      <c r="F394" s="4">
        <f t="shared" si="69"/>
        <v>43596</v>
      </c>
      <c r="G394" s="4">
        <v>19989</v>
      </c>
    </row>
    <row r="395" spans="1:7" s="65" customFormat="1">
      <c r="A395" s="62"/>
      <c r="B395" s="114"/>
      <c r="C395" s="102"/>
      <c r="D395" s="36"/>
      <c r="E395" s="36"/>
      <c r="F395" s="36"/>
      <c r="G395" s="36"/>
    </row>
    <row r="396" spans="1:7" ht="14.45" customHeight="1">
      <c r="A396" s="62"/>
      <c r="B396" s="113">
        <v>1.8</v>
      </c>
      <c r="C396" s="102" t="s">
        <v>30</v>
      </c>
      <c r="D396" s="27"/>
      <c r="E396" s="27"/>
      <c r="F396" s="27"/>
      <c r="G396" s="27"/>
    </row>
    <row r="397" spans="1:7" ht="14.45" customHeight="1">
      <c r="B397" s="29">
        <v>44</v>
      </c>
      <c r="C397" s="123" t="s">
        <v>10</v>
      </c>
      <c r="D397" s="27"/>
      <c r="E397" s="27"/>
      <c r="F397" s="27"/>
      <c r="G397" s="27"/>
    </row>
    <row r="398" spans="1:7" ht="14.45" customHeight="1">
      <c r="B398" s="60" t="s">
        <v>31</v>
      </c>
      <c r="C398" s="123" t="s">
        <v>32</v>
      </c>
      <c r="D398" s="15">
        <v>1939</v>
      </c>
      <c r="E398" s="1">
        <v>0</v>
      </c>
      <c r="F398" s="1">
        <v>0</v>
      </c>
      <c r="G398" s="1">
        <v>0</v>
      </c>
    </row>
    <row r="399" spans="1:7" s="69" customFormat="1" ht="14.45" customHeight="1">
      <c r="A399" s="28" t="s">
        <v>5</v>
      </c>
      <c r="B399" s="76">
        <v>1.8</v>
      </c>
      <c r="C399" s="58" t="s">
        <v>30</v>
      </c>
      <c r="D399" s="4">
        <f t="shared" ref="D399:F399" si="70">SUM(D398:D398)</f>
        <v>1939</v>
      </c>
      <c r="E399" s="3">
        <f t="shared" si="70"/>
        <v>0</v>
      </c>
      <c r="F399" s="3">
        <f t="shared" si="70"/>
        <v>0</v>
      </c>
      <c r="G399" s="3">
        <v>0</v>
      </c>
    </row>
    <row r="400" spans="1:7" ht="14.45" customHeight="1">
      <c r="A400" s="62" t="s">
        <v>5</v>
      </c>
      <c r="B400" s="101">
        <v>1</v>
      </c>
      <c r="C400" s="64" t="s">
        <v>125</v>
      </c>
      <c r="D400" s="13">
        <f t="shared" ref="D400:F400" si="71">D399+D394+D375+D293+D250+D242+D222+D211</f>
        <v>917966</v>
      </c>
      <c r="E400" s="13">
        <f t="shared" si="71"/>
        <v>1323614</v>
      </c>
      <c r="F400" s="13">
        <f t="shared" si="71"/>
        <v>1151932</v>
      </c>
      <c r="G400" s="13">
        <v>1347553</v>
      </c>
    </row>
    <row r="401" spans="1:7" ht="9" customHeight="1">
      <c r="B401" s="79"/>
      <c r="C401" s="123"/>
      <c r="D401" s="40"/>
      <c r="E401" s="27"/>
      <c r="F401" s="27"/>
      <c r="G401" s="27"/>
    </row>
    <row r="402" spans="1:7" ht="15" customHeight="1">
      <c r="B402" s="79">
        <v>2</v>
      </c>
      <c r="C402" s="123" t="s">
        <v>132</v>
      </c>
      <c r="D402" s="27"/>
      <c r="E402" s="27"/>
      <c r="F402" s="27"/>
      <c r="G402" s="27"/>
    </row>
    <row r="403" spans="1:7" ht="15" customHeight="1">
      <c r="B403" s="76">
        <v>2.11</v>
      </c>
      <c r="C403" s="58" t="s">
        <v>250</v>
      </c>
      <c r="D403" s="27"/>
      <c r="E403" s="27"/>
      <c r="F403" s="27"/>
      <c r="G403" s="27"/>
    </row>
    <row r="404" spans="1:7" ht="15" customHeight="1">
      <c r="B404" s="88">
        <v>0.38</v>
      </c>
      <c r="C404" s="123" t="s">
        <v>246</v>
      </c>
      <c r="D404" s="27"/>
      <c r="E404" s="27"/>
      <c r="F404" s="27"/>
      <c r="G404" s="27"/>
    </row>
    <row r="405" spans="1:7" ht="15" customHeight="1">
      <c r="B405" s="60" t="s">
        <v>97</v>
      </c>
      <c r="C405" s="123" t="s">
        <v>12</v>
      </c>
      <c r="D405" s="15">
        <v>11149</v>
      </c>
      <c r="E405" s="15">
        <v>12518</v>
      </c>
      <c r="F405" s="15">
        <f>12518-1952</f>
        <v>10566</v>
      </c>
      <c r="G405" s="2">
        <v>5800</v>
      </c>
    </row>
    <row r="406" spans="1:7" s="47" customFormat="1" ht="14.65" customHeight="1">
      <c r="A406" s="43"/>
      <c r="B406" s="44" t="s">
        <v>371</v>
      </c>
      <c r="C406" s="43" t="s">
        <v>312</v>
      </c>
      <c r="D406" s="1">
        <v>0</v>
      </c>
      <c r="E406" s="2">
        <v>1</v>
      </c>
      <c r="F406" s="2">
        <v>1</v>
      </c>
      <c r="G406" s="2">
        <v>290</v>
      </c>
    </row>
    <row r="407" spans="1:7" s="47" customFormat="1" ht="14.65" customHeight="1">
      <c r="A407" s="43"/>
      <c r="B407" s="44" t="s">
        <v>372</v>
      </c>
      <c r="C407" s="43" t="s">
        <v>313</v>
      </c>
      <c r="D407" s="1">
        <v>0</v>
      </c>
      <c r="E407" s="2">
        <v>1</v>
      </c>
      <c r="F407" s="2">
        <v>1</v>
      </c>
      <c r="G407" s="2">
        <v>4643</v>
      </c>
    </row>
    <row r="408" spans="1:7" ht="15" customHeight="1">
      <c r="A408" s="62"/>
      <c r="B408" s="107" t="s">
        <v>98</v>
      </c>
      <c r="C408" s="108" t="s">
        <v>314</v>
      </c>
      <c r="D408" s="20">
        <v>42</v>
      </c>
      <c r="E408" s="20">
        <v>42</v>
      </c>
      <c r="F408" s="20">
        <v>42</v>
      </c>
      <c r="G408" s="13">
        <v>42</v>
      </c>
    </row>
    <row r="409" spans="1:7" ht="15" customHeight="1">
      <c r="B409" s="89" t="s">
        <v>237</v>
      </c>
      <c r="C409" s="90" t="s">
        <v>238</v>
      </c>
      <c r="D409" s="15">
        <v>14453</v>
      </c>
      <c r="E409" s="1">
        <v>0</v>
      </c>
      <c r="F409" s="11">
        <v>0</v>
      </c>
      <c r="G409" s="1">
        <v>0</v>
      </c>
    </row>
    <row r="410" spans="1:7" ht="27.95" customHeight="1">
      <c r="B410" s="60" t="s">
        <v>389</v>
      </c>
      <c r="C410" s="125" t="s">
        <v>463</v>
      </c>
      <c r="D410" s="15">
        <v>1000</v>
      </c>
      <c r="E410" s="1">
        <v>0</v>
      </c>
      <c r="F410" s="11">
        <v>0</v>
      </c>
      <c r="G410" s="1">
        <v>0</v>
      </c>
    </row>
    <row r="411" spans="1:7" ht="15" customHeight="1">
      <c r="A411" s="66" t="s">
        <v>5</v>
      </c>
      <c r="B411" s="115">
        <v>0.38</v>
      </c>
      <c r="C411" s="68" t="s">
        <v>246</v>
      </c>
      <c r="D411" s="4">
        <f t="shared" ref="D411:F411" si="72">SUM(D405:D410)</f>
        <v>26644</v>
      </c>
      <c r="E411" s="4">
        <f t="shared" si="72"/>
        <v>12562</v>
      </c>
      <c r="F411" s="4">
        <f t="shared" si="72"/>
        <v>10610</v>
      </c>
      <c r="G411" s="4">
        <v>10775</v>
      </c>
    </row>
    <row r="412" spans="1:7">
      <c r="B412" s="88"/>
      <c r="C412" s="123"/>
      <c r="D412" s="27"/>
      <c r="E412" s="27"/>
      <c r="F412" s="27"/>
      <c r="G412" s="27"/>
    </row>
    <row r="413" spans="1:7" ht="13.9" customHeight="1">
      <c r="B413" s="88">
        <v>0.45</v>
      </c>
      <c r="C413" s="123" t="s">
        <v>283</v>
      </c>
      <c r="D413" s="27"/>
      <c r="E413" s="27"/>
      <c r="F413" s="27"/>
      <c r="G413" s="27"/>
    </row>
    <row r="414" spans="1:7" ht="13.9" customHeight="1">
      <c r="B414" s="60" t="s">
        <v>41</v>
      </c>
      <c r="C414" s="123" t="s">
        <v>12</v>
      </c>
      <c r="D414" s="2">
        <v>42164</v>
      </c>
      <c r="E414" s="2">
        <v>45640</v>
      </c>
      <c r="F414" s="2">
        <f>45640-1089</f>
        <v>44551</v>
      </c>
      <c r="G414" s="2">
        <v>26659</v>
      </c>
    </row>
    <row r="415" spans="1:7" ht="13.9" customHeight="1">
      <c r="B415" s="60" t="s">
        <v>110</v>
      </c>
      <c r="C415" s="123" t="s">
        <v>32</v>
      </c>
      <c r="D415" s="2">
        <v>886</v>
      </c>
      <c r="E415" s="2">
        <v>1199</v>
      </c>
      <c r="F415" s="2">
        <v>1199</v>
      </c>
      <c r="G415" s="2">
        <v>887</v>
      </c>
    </row>
    <row r="416" spans="1:7" s="47" customFormat="1" ht="14.65" customHeight="1">
      <c r="A416" s="43"/>
      <c r="B416" s="44" t="s">
        <v>326</v>
      </c>
      <c r="C416" s="43" t="s">
        <v>312</v>
      </c>
      <c r="D416" s="1">
        <v>0</v>
      </c>
      <c r="E416" s="2">
        <v>1</v>
      </c>
      <c r="F416" s="2">
        <v>1</v>
      </c>
      <c r="G416" s="2">
        <v>1333</v>
      </c>
    </row>
    <row r="417" spans="1:7" s="47" customFormat="1" ht="14.65" customHeight="1">
      <c r="A417" s="43"/>
      <c r="B417" s="44" t="s">
        <v>327</v>
      </c>
      <c r="C417" s="43" t="s">
        <v>313</v>
      </c>
      <c r="D417" s="1">
        <v>0</v>
      </c>
      <c r="E417" s="2">
        <v>1</v>
      </c>
      <c r="F417" s="2">
        <v>1</v>
      </c>
      <c r="G417" s="2">
        <v>22427</v>
      </c>
    </row>
    <row r="418" spans="1:7" ht="13.9" customHeight="1">
      <c r="B418" s="60" t="s">
        <v>42</v>
      </c>
      <c r="C418" s="43" t="s">
        <v>314</v>
      </c>
      <c r="D418" s="15">
        <v>83</v>
      </c>
      <c r="E418" s="2">
        <v>83</v>
      </c>
      <c r="F418" s="2">
        <v>83</v>
      </c>
      <c r="G418" s="2">
        <v>83</v>
      </c>
    </row>
    <row r="419" spans="1:7" ht="13.9" customHeight="1">
      <c r="B419" s="60" t="s">
        <v>43</v>
      </c>
      <c r="C419" s="123" t="s">
        <v>16</v>
      </c>
      <c r="D419" s="13">
        <v>73</v>
      </c>
      <c r="E419" s="13">
        <v>73</v>
      </c>
      <c r="F419" s="13">
        <v>73</v>
      </c>
      <c r="G419" s="13">
        <v>73</v>
      </c>
    </row>
    <row r="420" spans="1:7" ht="13.9" customHeight="1">
      <c r="A420" s="28" t="s">
        <v>5</v>
      </c>
      <c r="B420" s="88">
        <v>0.45</v>
      </c>
      <c r="C420" s="123" t="s">
        <v>283</v>
      </c>
      <c r="D420" s="20">
        <f t="shared" ref="D420:F420" si="73">SUM(D414:D419)</f>
        <v>43206</v>
      </c>
      <c r="E420" s="20">
        <f t="shared" si="73"/>
        <v>46997</v>
      </c>
      <c r="F420" s="20">
        <f t="shared" si="73"/>
        <v>45908</v>
      </c>
      <c r="G420" s="20">
        <v>51462</v>
      </c>
    </row>
    <row r="421" spans="1:7">
      <c r="B421" s="60"/>
      <c r="C421" s="123"/>
      <c r="D421" s="27"/>
      <c r="E421" s="27"/>
      <c r="F421" s="27"/>
      <c r="G421" s="27"/>
    </row>
    <row r="422" spans="1:7" ht="14.45" customHeight="1">
      <c r="B422" s="88">
        <v>0.46</v>
      </c>
      <c r="C422" s="123" t="s">
        <v>284</v>
      </c>
      <c r="D422" s="27"/>
      <c r="E422" s="27"/>
      <c r="F422" s="27"/>
      <c r="G422" s="27"/>
    </row>
    <row r="423" spans="1:7" s="65" customFormat="1" ht="14.45" customHeight="1">
      <c r="A423" s="62"/>
      <c r="B423" s="107" t="s">
        <v>45</v>
      </c>
      <c r="C423" s="64" t="s">
        <v>12</v>
      </c>
      <c r="D423" s="2">
        <v>23629</v>
      </c>
      <c r="E423" s="2">
        <v>24591</v>
      </c>
      <c r="F423" s="2">
        <f>24591-1231</f>
        <v>23360</v>
      </c>
      <c r="G423" s="2">
        <v>13949</v>
      </c>
    </row>
    <row r="424" spans="1:7" ht="14.45" customHeight="1">
      <c r="B424" s="60" t="s">
        <v>207</v>
      </c>
      <c r="C424" s="123" t="s">
        <v>32</v>
      </c>
      <c r="D424" s="2">
        <v>1017</v>
      </c>
      <c r="E424" s="2">
        <v>1035</v>
      </c>
      <c r="F424" s="2">
        <v>1035</v>
      </c>
      <c r="G424" s="2">
        <v>1787</v>
      </c>
    </row>
    <row r="425" spans="1:7" s="47" customFormat="1" ht="14.65" customHeight="1">
      <c r="A425" s="43"/>
      <c r="B425" s="44" t="s">
        <v>329</v>
      </c>
      <c r="C425" s="43" t="s">
        <v>312</v>
      </c>
      <c r="D425" s="1">
        <v>0</v>
      </c>
      <c r="E425" s="2">
        <v>1</v>
      </c>
      <c r="F425" s="2">
        <v>1</v>
      </c>
      <c r="G425" s="2">
        <v>697</v>
      </c>
    </row>
    <row r="426" spans="1:7" s="47" customFormat="1" ht="14.65" customHeight="1">
      <c r="A426" s="43"/>
      <c r="B426" s="44" t="s">
        <v>330</v>
      </c>
      <c r="C426" s="43" t="s">
        <v>313</v>
      </c>
      <c r="D426" s="1">
        <v>0</v>
      </c>
      <c r="E426" s="2">
        <v>1</v>
      </c>
      <c r="F426" s="2">
        <v>1</v>
      </c>
      <c r="G426" s="2">
        <v>12146</v>
      </c>
    </row>
    <row r="427" spans="1:7" ht="14.45" customHeight="1">
      <c r="B427" s="60" t="s">
        <v>46</v>
      </c>
      <c r="C427" s="43" t="s">
        <v>314</v>
      </c>
      <c r="D427" s="2">
        <v>83</v>
      </c>
      <c r="E427" s="2">
        <v>83</v>
      </c>
      <c r="F427" s="2">
        <v>83</v>
      </c>
      <c r="G427" s="2">
        <v>83</v>
      </c>
    </row>
    <row r="428" spans="1:7" ht="14.45" customHeight="1">
      <c r="B428" s="60" t="s">
        <v>47</v>
      </c>
      <c r="C428" s="123" t="s">
        <v>16</v>
      </c>
      <c r="D428" s="2">
        <v>73</v>
      </c>
      <c r="E428" s="2">
        <v>73</v>
      </c>
      <c r="F428" s="2">
        <v>73</v>
      </c>
      <c r="G428" s="2">
        <v>73</v>
      </c>
    </row>
    <row r="429" spans="1:7" ht="14.45" customHeight="1">
      <c r="A429" s="28" t="s">
        <v>5</v>
      </c>
      <c r="B429" s="88">
        <v>0.46</v>
      </c>
      <c r="C429" s="123" t="s">
        <v>284</v>
      </c>
      <c r="D429" s="10">
        <f t="shared" ref="D429:F429" si="74">SUM(D423:D428)</f>
        <v>24802</v>
      </c>
      <c r="E429" s="10">
        <f t="shared" si="74"/>
        <v>25784</v>
      </c>
      <c r="F429" s="10">
        <f t="shared" si="74"/>
        <v>24553</v>
      </c>
      <c r="G429" s="10">
        <v>28735</v>
      </c>
    </row>
    <row r="430" spans="1:7" ht="6.75" customHeight="1">
      <c r="B430" s="88"/>
      <c r="C430" s="123"/>
      <c r="D430" s="27"/>
      <c r="E430" s="27"/>
      <c r="F430" s="27"/>
      <c r="G430" s="27"/>
    </row>
    <row r="431" spans="1:7" ht="14.45" customHeight="1">
      <c r="B431" s="88">
        <v>0.47</v>
      </c>
      <c r="C431" s="123" t="s">
        <v>285</v>
      </c>
      <c r="D431" s="27"/>
      <c r="E431" s="27"/>
      <c r="F431" s="27"/>
      <c r="G431" s="27"/>
    </row>
    <row r="432" spans="1:7" ht="14.45" customHeight="1">
      <c r="B432" s="60" t="s">
        <v>49</v>
      </c>
      <c r="C432" s="123" t="s">
        <v>12</v>
      </c>
      <c r="D432" s="15">
        <v>11915</v>
      </c>
      <c r="E432" s="15">
        <v>12230</v>
      </c>
      <c r="F432" s="15">
        <f>12230-1402</f>
        <v>10828</v>
      </c>
      <c r="G432" s="2">
        <v>5886</v>
      </c>
    </row>
    <row r="433" spans="1:7" ht="14.45" customHeight="1">
      <c r="B433" s="60" t="s">
        <v>195</v>
      </c>
      <c r="C433" s="123" t="s">
        <v>32</v>
      </c>
      <c r="D433" s="2">
        <v>395</v>
      </c>
      <c r="E433" s="2">
        <v>396</v>
      </c>
      <c r="F433" s="2">
        <v>396</v>
      </c>
      <c r="G433" s="2">
        <v>396</v>
      </c>
    </row>
    <row r="434" spans="1:7" s="47" customFormat="1" ht="14.65" customHeight="1">
      <c r="A434" s="43"/>
      <c r="B434" s="44" t="s">
        <v>331</v>
      </c>
      <c r="C434" s="43" t="s">
        <v>312</v>
      </c>
      <c r="D434" s="1">
        <v>0</v>
      </c>
      <c r="E434" s="2">
        <v>1</v>
      </c>
      <c r="F434" s="2">
        <v>1</v>
      </c>
      <c r="G434" s="2">
        <v>294</v>
      </c>
    </row>
    <row r="435" spans="1:7" s="47" customFormat="1" ht="14.65" customHeight="1">
      <c r="A435" s="43"/>
      <c r="B435" s="44" t="s">
        <v>332</v>
      </c>
      <c r="C435" s="43" t="s">
        <v>313</v>
      </c>
      <c r="D435" s="1">
        <v>0</v>
      </c>
      <c r="E435" s="2">
        <v>1</v>
      </c>
      <c r="F435" s="2">
        <v>1</v>
      </c>
      <c r="G435" s="2">
        <v>5076</v>
      </c>
    </row>
    <row r="436" spans="1:7" ht="14.45" customHeight="1">
      <c r="B436" s="60" t="s">
        <v>50</v>
      </c>
      <c r="C436" s="43" t="s">
        <v>314</v>
      </c>
      <c r="D436" s="15">
        <v>83</v>
      </c>
      <c r="E436" s="15">
        <v>83</v>
      </c>
      <c r="F436" s="15">
        <v>83</v>
      </c>
      <c r="G436" s="2">
        <v>83</v>
      </c>
    </row>
    <row r="437" spans="1:7" ht="14.45" customHeight="1">
      <c r="B437" s="60" t="s">
        <v>51</v>
      </c>
      <c r="C437" s="123" t="s">
        <v>16</v>
      </c>
      <c r="D437" s="15">
        <v>73</v>
      </c>
      <c r="E437" s="15">
        <v>73</v>
      </c>
      <c r="F437" s="15">
        <v>73</v>
      </c>
      <c r="G437" s="2">
        <v>73</v>
      </c>
    </row>
    <row r="438" spans="1:7" ht="14.45" customHeight="1">
      <c r="A438" s="62" t="s">
        <v>5</v>
      </c>
      <c r="B438" s="130">
        <v>0.47</v>
      </c>
      <c r="C438" s="64" t="s">
        <v>285</v>
      </c>
      <c r="D438" s="4">
        <f t="shared" ref="D438:F438" si="75">SUM(D432:D437)</f>
        <v>12466</v>
      </c>
      <c r="E438" s="4">
        <f t="shared" si="75"/>
        <v>12784</v>
      </c>
      <c r="F438" s="4">
        <f t="shared" si="75"/>
        <v>11382</v>
      </c>
      <c r="G438" s="4">
        <v>11808</v>
      </c>
    </row>
    <row r="439" spans="1:7" ht="6" customHeight="1">
      <c r="B439" s="88"/>
      <c r="C439" s="123"/>
      <c r="D439" s="27"/>
      <c r="E439" s="27"/>
      <c r="F439" s="27"/>
      <c r="G439" s="27"/>
    </row>
    <row r="440" spans="1:7" ht="14.45" customHeight="1">
      <c r="B440" s="88">
        <v>0.48</v>
      </c>
      <c r="C440" s="123" t="s">
        <v>286</v>
      </c>
      <c r="D440" s="27"/>
      <c r="E440" s="27"/>
      <c r="F440" s="27"/>
      <c r="G440" s="27"/>
    </row>
    <row r="441" spans="1:7" s="65" customFormat="1" ht="14.45" customHeight="1">
      <c r="A441" s="62"/>
      <c r="B441" s="107" t="s">
        <v>53</v>
      </c>
      <c r="C441" s="64" t="s">
        <v>12</v>
      </c>
      <c r="D441" s="2">
        <v>18473</v>
      </c>
      <c r="E441" s="15">
        <v>19484</v>
      </c>
      <c r="F441" s="15">
        <f>19484-1308</f>
        <v>18176</v>
      </c>
      <c r="G441" s="2">
        <v>10521</v>
      </c>
    </row>
    <row r="442" spans="1:7" ht="14.45" customHeight="1">
      <c r="B442" s="60" t="s">
        <v>100</v>
      </c>
      <c r="C442" s="123" t="s">
        <v>32</v>
      </c>
      <c r="D442" s="2">
        <v>218</v>
      </c>
      <c r="E442" s="15">
        <v>581</v>
      </c>
      <c r="F442" s="15">
        <v>581</v>
      </c>
      <c r="G442" s="2">
        <v>362</v>
      </c>
    </row>
    <row r="443" spans="1:7" s="47" customFormat="1" ht="14.65" customHeight="1">
      <c r="A443" s="43"/>
      <c r="B443" s="44" t="s">
        <v>333</v>
      </c>
      <c r="C443" s="43" t="s">
        <v>312</v>
      </c>
      <c r="D443" s="1">
        <v>0</v>
      </c>
      <c r="E443" s="2">
        <v>1</v>
      </c>
      <c r="F443" s="2">
        <v>1</v>
      </c>
      <c r="G443" s="2">
        <v>526</v>
      </c>
    </row>
    <row r="444" spans="1:7" s="47" customFormat="1" ht="14.65" customHeight="1">
      <c r="A444" s="43"/>
      <c r="B444" s="44" t="s">
        <v>334</v>
      </c>
      <c r="C444" s="43" t="s">
        <v>313</v>
      </c>
      <c r="D444" s="1">
        <v>0</v>
      </c>
      <c r="E444" s="2">
        <v>1</v>
      </c>
      <c r="F444" s="2">
        <v>1</v>
      </c>
      <c r="G444" s="2">
        <v>8489</v>
      </c>
    </row>
    <row r="445" spans="1:7" ht="14.45" customHeight="1">
      <c r="B445" s="60" t="s">
        <v>54</v>
      </c>
      <c r="C445" s="43" t="s">
        <v>314</v>
      </c>
      <c r="D445" s="2">
        <v>66</v>
      </c>
      <c r="E445" s="15">
        <v>66</v>
      </c>
      <c r="F445" s="15">
        <v>66</v>
      </c>
      <c r="G445" s="2">
        <v>66</v>
      </c>
    </row>
    <row r="446" spans="1:7" ht="14.45" customHeight="1">
      <c r="A446" s="62"/>
      <c r="B446" s="107" t="s">
        <v>55</v>
      </c>
      <c r="C446" s="64" t="s">
        <v>16</v>
      </c>
      <c r="D446" s="2">
        <v>61</v>
      </c>
      <c r="E446" s="15">
        <v>61</v>
      </c>
      <c r="F446" s="15">
        <v>61</v>
      </c>
      <c r="G446" s="2">
        <v>61</v>
      </c>
    </row>
    <row r="447" spans="1:7" ht="14.45" customHeight="1">
      <c r="A447" s="62" t="s">
        <v>5</v>
      </c>
      <c r="B447" s="130">
        <v>0.48</v>
      </c>
      <c r="C447" s="64" t="s">
        <v>286</v>
      </c>
      <c r="D447" s="4">
        <f t="shared" ref="D447:F447" si="76">SUM(D441:D446)</f>
        <v>18818</v>
      </c>
      <c r="E447" s="4">
        <f t="shared" si="76"/>
        <v>20194</v>
      </c>
      <c r="F447" s="4">
        <f t="shared" si="76"/>
        <v>18886</v>
      </c>
      <c r="G447" s="4">
        <v>20025</v>
      </c>
    </row>
    <row r="448" spans="1:7" ht="11.1" customHeight="1">
      <c r="B448" s="88"/>
      <c r="C448" s="123"/>
      <c r="D448" s="2"/>
      <c r="E448" s="2"/>
      <c r="F448" s="2"/>
      <c r="G448" s="2"/>
    </row>
    <row r="449" spans="1:7" ht="15" customHeight="1">
      <c r="B449" s="88">
        <v>0.49</v>
      </c>
      <c r="C449" s="123" t="s">
        <v>292</v>
      </c>
      <c r="D449" s="27"/>
      <c r="E449" s="27"/>
      <c r="F449" s="27"/>
      <c r="G449" s="27"/>
    </row>
    <row r="450" spans="1:7" ht="15" customHeight="1">
      <c r="B450" s="60" t="s">
        <v>287</v>
      </c>
      <c r="C450" s="123" t="s">
        <v>12</v>
      </c>
      <c r="D450" s="1">
        <v>0</v>
      </c>
      <c r="E450" s="2">
        <v>1</v>
      </c>
      <c r="F450" s="2">
        <v>1</v>
      </c>
      <c r="G450" s="1">
        <v>0</v>
      </c>
    </row>
    <row r="451" spans="1:7" ht="15" customHeight="1">
      <c r="B451" s="60" t="s">
        <v>288</v>
      </c>
      <c r="C451" s="123" t="s">
        <v>32</v>
      </c>
      <c r="D451" s="1">
        <v>0</v>
      </c>
      <c r="E451" s="2">
        <v>1</v>
      </c>
      <c r="F451" s="2">
        <v>1</v>
      </c>
      <c r="G451" s="1">
        <v>0</v>
      </c>
    </row>
    <row r="452" spans="1:7" ht="15" customHeight="1">
      <c r="B452" s="60" t="s">
        <v>289</v>
      </c>
      <c r="C452" s="43" t="s">
        <v>314</v>
      </c>
      <c r="D452" s="1">
        <v>0</v>
      </c>
      <c r="E452" s="2">
        <v>1</v>
      </c>
      <c r="F452" s="2">
        <v>1</v>
      </c>
      <c r="G452" s="1">
        <v>0</v>
      </c>
    </row>
    <row r="453" spans="1:7" ht="15" customHeight="1">
      <c r="B453" s="60" t="s">
        <v>290</v>
      </c>
      <c r="C453" s="123" t="s">
        <v>16</v>
      </c>
      <c r="D453" s="1">
        <v>0</v>
      </c>
      <c r="E453" s="2">
        <v>1</v>
      </c>
      <c r="F453" s="2">
        <v>1</v>
      </c>
      <c r="G453" s="2">
        <v>1</v>
      </c>
    </row>
    <row r="454" spans="1:7" ht="15" customHeight="1">
      <c r="A454" s="62" t="s">
        <v>5</v>
      </c>
      <c r="B454" s="130">
        <v>0.49</v>
      </c>
      <c r="C454" s="64" t="s">
        <v>292</v>
      </c>
      <c r="D454" s="3">
        <f t="shared" ref="D454:F454" si="77">SUM(D450:D453)</f>
        <v>0</v>
      </c>
      <c r="E454" s="4">
        <f t="shared" si="77"/>
        <v>4</v>
      </c>
      <c r="F454" s="4">
        <f t="shared" si="77"/>
        <v>4</v>
      </c>
      <c r="G454" s="4">
        <v>1</v>
      </c>
    </row>
    <row r="455" spans="1:7" ht="11.1" customHeight="1">
      <c r="A455" s="62"/>
      <c r="B455" s="112"/>
      <c r="C455" s="64"/>
      <c r="D455" s="2"/>
      <c r="E455" s="2"/>
      <c r="F455" s="2"/>
      <c r="G455" s="2"/>
    </row>
    <row r="456" spans="1:7" ht="15" customHeight="1">
      <c r="A456" s="62"/>
      <c r="B456" s="130">
        <v>0.5</v>
      </c>
      <c r="C456" s="64" t="s">
        <v>293</v>
      </c>
      <c r="D456" s="27"/>
      <c r="E456" s="27"/>
      <c r="F456" s="27"/>
      <c r="G456" s="27"/>
    </row>
    <row r="457" spans="1:7" ht="15" customHeight="1">
      <c r="B457" s="60" t="s">
        <v>294</v>
      </c>
      <c r="C457" s="123" t="s">
        <v>12</v>
      </c>
      <c r="D457" s="1">
        <v>0</v>
      </c>
      <c r="E457" s="2">
        <v>1</v>
      </c>
      <c r="F457" s="2">
        <v>1</v>
      </c>
      <c r="G457" s="1">
        <v>0</v>
      </c>
    </row>
    <row r="458" spans="1:7" ht="15" customHeight="1">
      <c r="B458" s="60" t="s">
        <v>295</v>
      </c>
      <c r="C458" s="123" t="s">
        <v>32</v>
      </c>
      <c r="D458" s="1">
        <v>0</v>
      </c>
      <c r="E458" s="2">
        <v>1</v>
      </c>
      <c r="F458" s="2">
        <v>1</v>
      </c>
      <c r="G458" s="1">
        <v>0</v>
      </c>
    </row>
    <row r="459" spans="1:7" ht="15" customHeight="1">
      <c r="B459" s="60" t="s">
        <v>296</v>
      </c>
      <c r="C459" s="43" t="s">
        <v>314</v>
      </c>
      <c r="D459" s="1">
        <v>0</v>
      </c>
      <c r="E459" s="2">
        <v>1</v>
      </c>
      <c r="F459" s="2">
        <v>1</v>
      </c>
      <c r="G459" s="1">
        <v>0</v>
      </c>
    </row>
    <row r="460" spans="1:7" ht="15" customHeight="1">
      <c r="B460" s="60" t="s">
        <v>297</v>
      </c>
      <c r="C460" s="123" t="s">
        <v>16</v>
      </c>
      <c r="D460" s="1">
        <v>0</v>
      </c>
      <c r="E460" s="2">
        <v>1</v>
      </c>
      <c r="F460" s="2">
        <v>1</v>
      </c>
      <c r="G460" s="2">
        <v>1</v>
      </c>
    </row>
    <row r="461" spans="1:7" s="69" customFormat="1" ht="15" customHeight="1">
      <c r="A461" s="66" t="s">
        <v>5</v>
      </c>
      <c r="B461" s="115">
        <v>0.5</v>
      </c>
      <c r="C461" s="68" t="s">
        <v>293</v>
      </c>
      <c r="D461" s="3">
        <f t="shared" ref="D461:F461" si="78">SUM(D457:D460)</f>
        <v>0</v>
      </c>
      <c r="E461" s="4">
        <f t="shared" si="78"/>
        <v>4</v>
      </c>
      <c r="F461" s="4">
        <f t="shared" si="78"/>
        <v>4</v>
      </c>
      <c r="G461" s="4">
        <v>1</v>
      </c>
    </row>
    <row r="462" spans="1:7">
      <c r="C462" s="123"/>
      <c r="D462" s="27"/>
      <c r="E462" s="27"/>
      <c r="F462" s="27"/>
      <c r="G462" s="27"/>
    </row>
    <row r="463" spans="1:7" ht="15" customHeight="1">
      <c r="B463" s="88">
        <v>0.66</v>
      </c>
      <c r="C463" s="123" t="s">
        <v>133</v>
      </c>
      <c r="D463" s="27"/>
      <c r="E463" s="27"/>
      <c r="F463" s="27"/>
      <c r="G463" s="27"/>
    </row>
    <row r="464" spans="1:7" ht="15" customHeight="1">
      <c r="B464" s="60" t="s">
        <v>101</v>
      </c>
      <c r="C464" s="123" t="s">
        <v>12</v>
      </c>
      <c r="D464" s="15">
        <v>30978</v>
      </c>
      <c r="E464" s="15">
        <v>33147</v>
      </c>
      <c r="F464" s="15">
        <f>33147-1444</f>
        <v>31703</v>
      </c>
      <c r="G464" s="15">
        <v>18887</v>
      </c>
    </row>
    <row r="465" spans="1:7" ht="15" customHeight="1">
      <c r="B465" s="60" t="s">
        <v>208</v>
      </c>
      <c r="C465" s="123" t="s">
        <v>32</v>
      </c>
      <c r="D465" s="15">
        <v>382</v>
      </c>
      <c r="E465" s="15">
        <v>634</v>
      </c>
      <c r="F465" s="15">
        <v>634</v>
      </c>
      <c r="G465" s="15">
        <v>634</v>
      </c>
    </row>
    <row r="466" spans="1:7" s="47" customFormat="1" ht="15" customHeight="1">
      <c r="A466" s="43"/>
      <c r="B466" s="44" t="s">
        <v>373</v>
      </c>
      <c r="C466" s="43" t="s">
        <v>312</v>
      </c>
      <c r="D466" s="1">
        <v>0</v>
      </c>
      <c r="E466" s="2">
        <v>1</v>
      </c>
      <c r="F466" s="2">
        <v>1</v>
      </c>
      <c r="G466" s="2">
        <v>944</v>
      </c>
    </row>
    <row r="467" spans="1:7" s="47" customFormat="1" ht="15" customHeight="1">
      <c r="A467" s="43"/>
      <c r="B467" s="44" t="s">
        <v>374</v>
      </c>
      <c r="C467" s="43" t="s">
        <v>313</v>
      </c>
      <c r="D467" s="1">
        <v>0</v>
      </c>
      <c r="E467" s="2">
        <v>1</v>
      </c>
      <c r="F467" s="2">
        <v>1</v>
      </c>
      <c r="G467" s="2">
        <v>16921</v>
      </c>
    </row>
    <row r="468" spans="1:7" ht="15" customHeight="1">
      <c r="B468" s="60" t="s">
        <v>102</v>
      </c>
      <c r="C468" s="43" t="s">
        <v>314</v>
      </c>
      <c r="D468" s="15">
        <v>42</v>
      </c>
      <c r="E468" s="15">
        <v>42</v>
      </c>
      <c r="F468" s="15">
        <v>42</v>
      </c>
      <c r="G468" s="15">
        <v>42</v>
      </c>
    </row>
    <row r="469" spans="1:7" ht="15" customHeight="1">
      <c r="B469" s="60" t="s">
        <v>103</v>
      </c>
      <c r="C469" s="123" t="s">
        <v>16</v>
      </c>
      <c r="D469" s="15">
        <v>73</v>
      </c>
      <c r="E469" s="15">
        <v>73</v>
      </c>
      <c r="F469" s="15">
        <v>73</v>
      </c>
      <c r="G469" s="15">
        <v>73</v>
      </c>
    </row>
    <row r="470" spans="1:7" ht="15" customHeight="1">
      <c r="A470" s="62" t="s">
        <v>5</v>
      </c>
      <c r="B470" s="130">
        <v>0.66</v>
      </c>
      <c r="C470" s="64" t="s">
        <v>133</v>
      </c>
      <c r="D470" s="10">
        <f t="shared" ref="D470:F470" si="79">SUM(D464:D469)</f>
        <v>31475</v>
      </c>
      <c r="E470" s="10">
        <f t="shared" si="79"/>
        <v>33898</v>
      </c>
      <c r="F470" s="10">
        <f t="shared" si="79"/>
        <v>32454</v>
      </c>
      <c r="G470" s="10">
        <v>37501</v>
      </c>
    </row>
    <row r="471" spans="1:7">
      <c r="A471" s="62"/>
      <c r="B471" s="130"/>
      <c r="C471" s="64"/>
      <c r="D471" s="15"/>
      <c r="E471" s="15"/>
      <c r="F471" s="15"/>
      <c r="G471" s="15"/>
    </row>
    <row r="472" spans="1:7" ht="15" customHeight="1">
      <c r="B472" s="29">
        <v>13</v>
      </c>
      <c r="C472" s="123" t="s">
        <v>247</v>
      </c>
      <c r="D472" s="15"/>
      <c r="E472" s="15"/>
      <c r="F472" s="15"/>
      <c r="G472" s="15"/>
    </row>
    <row r="473" spans="1:7" ht="15" customHeight="1">
      <c r="A473" s="91"/>
      <c r="B473" s="77">
        <v>38</v>
      </c>
      <c r="C473" s="123" t="s">
        <v>246</v>
      </c>
      <c r="D473" s="15"/>
      <c r="E473" s="15"/>
      <c r="F473" s="15"/>
      <c r="G473" s="15"/>
    </row>
    <row r="474" spans="1:7" ht="27.95" customHeight="1">
      <c r="B474" s="60" t="s">
        <v>387</v>
      </c>
      <c r="C474" s="134" t="s">
        <v>469</v>
      </c>
      <c r="D474" s="15">
        <v>2703</v>
      </c>
      <c r="E474" s="15">
        <v>8500</v>
      </c>
      <c r="F474" s="11">
        <v>0</v>
      </c>
      <c r="G474" s="15">
        <v>32580</v>
      </c>
    </row>
    <row r="475" spans="1:7" ht="27.95" customHeight="1">
      <c r="B475" s="60" t="s">
        <v>388</v>
      </c>
      <c r="C475" s="134" t="s">
        <v>470</v>
      </c>
      <c r="D475" s="15">
        <v>300</v>
      </c>
      <c r="E475" s="15">
        <v>6999</v>
      </c>
      <c r="F475" s="15">
        <v>6999</v>
      </c>
      <c r="G475" s="15">
        <v>7092</v>
      </c>
    </row>
    <row r="476" spans="1:7" ht="15" customHeight="1">
      <c r="A476" s="28" t="s">
        <v>5</v>
      </c>
      <c r="B476" s="77">
        <v>38</v>
      </c>
      <c r="C476" s="123" t="s">
        <v>246</v>
      </c>
      <c r="D476" s="10">
        <f t="shared" ref="D476:F476" si="80">SUM(D474:D475)</f>
        <v>3003</v>
      </c>
      <c r="E476" s="10">
        <f>SUM(E474:E475)</f>
        <v>15499</v>
      </c>
      <c r="F476" s="10">
        <f t="shared" si="80"/>
        <v>6999</v>
      </c>
      <c r="G476" s="10">
        <v>39672</v>
      </c>
    </row>
    <row r="477" spans="1:7" ht="9.75" customHeight="1">
      <c r="B477" s="77"/>
      <c r="C477" s="123"/>
      <c r="D477" s="15"/>
      <c r="E477" s="15"/>
      <c r="F477" s="15"/>
      <c r="G477" s="15"/>
    </row>
    <row r="478" spans="1:7" ht="15" customHeight="1">
      <c r="A478" s="91"/>
      <c r="B478" s="77" t="s">
        <v>398</v>
      </c>
      <c r="C478" s="90" t="s">
        <v>238</v>
      </c>
      <c r="D478" s="15"/>
      <c r="E478" s="15"/>
      <c r="F478" s="15"/>
      <c r="G478" s="15"/>
    </row>
    <row r="479" spans="1:7" ht="15" customHeight="1">
      <c r="B479" s="60" t="s">
        <v>428</v>
      </c>
      <c r="C479" s="123" t="s">
        <v>399</v>
      </c>
      <c r="D479" s="11">
        <v>0</v>
      </c>
      <c r="E479" s="15">
        <v>10000</v>
      </c>
      <c r="F479" s="15">
        <f>10000-9093</f>
        <v>907</v>
      </c>
      <c r="G479" s="15">
        <v>1</v>
      </c>
    </row>
    <row r="480" spans="1:7" ht="15" customHeight="1">
      <c r="A480" s="28" t="s">
        <v>5</v>
      </c>
      <c r="B480" s="77" t="s">
        <v>398</v>
      </c>
      <c r="C480" s="90" t="s">
        <v>238</v>
      </c>
      <c r="D480" s="9">
        <f t="shared" ref="D480:F480" si="81">SUM(D479:D479)</f>
        <v>0</v>
      </c>
      <c r="E480" s="10">
        <f t="shared" ref="E480" si="82">SUM(E479:E479)</f>
        <v>10000</v>
      </c>
      <c r="F480" s="10">
        <f t="shared" si="81"/>
        <v>907</v>
      </c>
      <c r="G480" s="10">
        <v>1</v>
      </c>
    </row>
    <row r="481" spans="1:7" ht="14.1" customHeight="1">
      <c r="C481" s="123"/>
      <c r="D481" s="15"/>
      <c r="E481" s="15"/>
      <c r="F481" s="15"/>
      <c r="G481" s="15"/>
    </row>
    <row r="482" spans="1:7" ht="15" customHeight="1">
      <c r="B482" s="29">
        <v>45</v>
      </c>
      <c r="C482" s="123" t="s">
        <v>283</v>
      </c>
      <c r="D482" s="27"/>
      <c r="E482" s="27"/>
      <c r="F482" s="27"/>
      <c r="G482" s="27"/>
    </row>
    <row r="483" spans="1:7" s="65" customFormat="1" ht="25.9" customHeight="1">
      <c r="A483" s="62"/>
      <c r="B483" s="107" t="s">
        <v>150</v>
      </c>
      <c r="C483" s="64" t="s">
        <v>244</v>
      </c>
      <c r="D483" s="15">
        <v>1598</v>
      </c>
      <c r="E483" s="2">
        <v>74993</v>
      </c>
      <c r="F483" s="15">
        <f>74993-56294</f>
        <v>18699</v>
      </c>
      <c r="G483" s="2">
        <v>12493</v>
      </c>
    </row>
    <row r="484" spans="1:7" s="65" customFormat="1" ht="15" customHeight="1">
      <c r="A484" s="62"/>
      <c r="B484" s="107" t="s">
        <v>151</v>
      </c>
      <c r="C484" s="64" t="s">
        <v>166</v>
      </c>
      <c r="D484" s="15">
        <v>1783</v>
      </c>
      <c r="E484" s="2">
        <v>1</v>
      </c>
      <c r="F484" s="15">
        <v>1</v>
      </c>
      <c r="G484" s="2">
        <v>13947</v>
      </c>
    </row>
    <row r="485" spans="1:7" ht="27.95" customHeight="1">
      <c r="B485" s="60" t="s">
        <v>152</v>
      </c>
      <c r="C485" s="125" t="s">
        <v>465</v>
      </c>
      <c r="D485" s="15">
        <v>1172</v>
      </c>
      <c r="E485" s="2">
        <v>1</v>
      </c>
      <c r="F485" s="15">
        <v>1</v>
      </c>
      <c r="G485" s="2">
        <v>9389</v>
      </c>
    </row>
    <row r="486" spans="1:7" ht="15" customHeight="1">
      <c r="B486" s="60" t="s">
        <v>215</v>
      </c>
      <c r="C486" s="125" t="s">
        <v>240</v>
      </c>
      <c r="D486" s="15">
        <v>178</v>
      </c>
      <c r="E486" s="15">
        <v>1</v>
      </c>
      <c r="F486" s="15">
        <v>1</v>
      </c>
      <c r="G486" s="2">
        <v>1</v>
      </c>
    </row>
    <row r="487" spans="1:7" ht="15" customHeight="1">
      <c r="B487" s="60" t="s">
        <v>216</v>
      </c>
      <c r="C487" s="123" t="s">
        <v>218</v>
      </c>
      <c r="D487" s="15">
        <v>198</v>
      </c>
      <c r="E487" s="15">
        <v>1</v>
      </c>
      <c r="F487" s="15">
        <v>1</v>
      </c>
      <c r="G487" s="2">
        <v>1</v>
      </c>
    </row>
    <row r="488" spans="1:7" ht="27.95" customHeight="1">
      <c r="A488" s="62"/>
      <c r="B488" s="107" t="s">
        <v>217</v>
      </c>
      <c r="C488" s="64" t="s">
        <v>464</v>
      </c>
      <c r="D488" s="15">
        <v>130</v>
      </c>
      <c r="E488" s="15">
        <v>1</v>
      </c>
      <c r="F488" s="15">
        <v>1</v>
      </c>
      <c r="G488" s="2">
        <v>1</v>
      </c>
    </row>
    <row r="489" spans="1:7" ht="15" customHeight="1">
      <c r="A489" s="62" t="s">
        <v>5</v>
      </c>
      <c r="B489" s="63">
        <v>45</v>
      </c>
      <c r="C489" s="64" t="s">
        <v>283</v>
      </c>
      <c r="D489" s="10">
        <f t="shared" ref="D489:F489" si="83">SUM(D483:D488)</f>
        <v>5059</v>
      </c>
      <c r="E489" s="10">
        <f>SUM(E483:E488)</f>
        <v>74998</v>
      </c>
      <c r="F489" s="10">
        <f t="shared" si="83"/>
        <v>18704</v>
      </c>
      <c r="G489" s="10">
        <v>35832</v>
      </c>
    </row>
    <row r="490" spans="1:7" ht="12" customHeight="1">
      <c r="B490" s="60"/>
      <c r="C490" s="123"/>
      <c r="D490" s="27"/>
      <c r="E490" s="27"/>
      <c r="F490" s="27"/>
      <c r="G490" s="27"/>
    </row>
    <row r="491" spans="1:7" ht="15" customHeight="1">
      <c r="B491" s="29">
        <v>46</v>
      </c>
      <c r="C491" s="123" t="s">
        <v>284</v>
      </c>
      <c r="D491" s="27"/>
      <c r="E491" s="27"/>
      <c r="F491" s="27"/>
      <c r="G491" s="27"/>
    </row>
    <row r="492" spans="1:7" ht="15" customHeight="1">
      <c r="B492" s="60" t="s">
        <v>153</v>
      </c>
      <c r="C492" s="123" t="s">
        <v>163</v>
      </c>
      <c r="D492" s="15">
        <v>4150</v>
      </c>
      <c r="E492" s="2">
        <v>1</v>
      </c>
      <c r="F492" s="15">
        <v>1</v>
      </c>
      <c r="G492" s="2">
        <v>24305</v>
      </c>
    </row>
    <row r="493" spans="1:7" ht="15" customHeight="1">
      <c r="B493" s="60" t="s">
        <v>219</v>
      </c>
      <c r="C493" s="123" t="s">
        <v>220</v>
      </c>
      <c r="D493" s="20">
        <v>461</v>
      </c>
      <c r="E493" s="20">
        <v>1</v>
      </c>
      <c r="F493" s="20">
        <v>1</v>
      </c>
      <c r="G493" s="13">
        <v>1</v>
      </c>
    </row>
    <row r="494" spans="1:7" ht="15" customHeight="1">
      <c r="A494" s="62" t="s">
        <v>5</v>
      </c>
      <c r="B494" s="63">
        <v>46</v>
      </c>
      <c r="C494" s="64" t="s">
        <v>284</v>
      </c>
      <c r="D494" s="20">
        <f t="shared" ref="D494:F494" si="84">SUM(D492:D493)</f>
        <v>4611</v>
      </c>
      <c r="E494" s="20">
        <f>SUM(E492:E493)</f>
        <v>2</v>
      </c>
      <c r="F494" s="20">
        <f t="shared" si="84"/>
        <v>2</v>
      </c>
      <c r="G494" s="20">
        <v>24306</v>
      </c>
    </row>
    <row r="495" spans="1:7" ht="10.5" customHeight="1">
      <c r="A495" s="62"/>
      <c r="B495" s="130"/>
      <c r="C495" s="64"/>
      <c r="D495" s="27"/>
      <c r="E495" s="27"/>
      <c r="F495" s="27"/>
      <c r="G495" s="27"/>
    </row>
    <row r="496" spans="1:7" ht="15" customHeight="1">
      <c r="A496" s="62"/>
      <c r="B496" s="63">
        <v>47</v>
      </c>
      <c r="C496" s="64" t="s">
        <v>285</v>
      </c>
      <c r="D496" s="27"/>
      <c r="E496" s="27"/>
      <c r="F496" s="27"/>
      <c r="G496" s="27"/>
    </row>
    <row r="497" spans="1:7" ht="27" customHeight="1">
      <c r="B497" s="60" t="s">
        <v>154</v>
      </c>
      <c r="C497" s="123" t="s">
        <v>263</v>
      </c>
      <c r="D497" s="15">
        <v>875</v>
      </c>
      <c r="E497" s="2">
        <v>1</v>
      </c>
      <c r="F497" s="15">
        <v>1</v>
      </c>
      <c r="G497" s="2">
        <v>15244</v>
      </c>
    </row>
    <row r="498" spans="1:7" s="69" customFormat="1" ht="25.9" customHeight="1">
      <c r="A498" s="28"/>
      <c r="B498" s="60" t="s">
        <v>221</v>
      </c>
      <c r="C498" s="123" t="s">
        <v>222</v>
      </c>
      <c r="D498" s="20">
        <v>97</v>
      </c>
      <c r="E498" s="20">
        <v>1</v>
      </c>
      <c r="F498" s="20">
        <v>1</v>
      </c>
      <c r="G498" s="13">
        <v>1</v>
      </c>
    </row>
    <row r="499" spans="1:7" ht="15" customHeight="1">
      <c r="A499" s="28" t="s">
        <v>5</v>
      </c>
      <c r="B499" s="29">
        <v>47</v>
      </c>
      <c r="C499" s="123" t="s">
        <v>285</v>
      </c>
      <c r="D499" s="13">
        <f t="shared" ref="D499:F499" si="85">SUM(D497:D498)</f>
        <v>972</v>
      </c>
      <c r="E499" s="13">
        <f>SUM(E497:E498)</f>
        <v>2</v>
      </c>
      <c r="F499" s="13">
        <f t="shared" si="85"/>
        <v>2</v>
      </c>
      <c r="G499" s="13">
        <v>15245</v>
      </c>
    </row>
    <row r="500" spans="1:7" ht="10.5" customHeight="1">
      <c r="B500" s="88"/>
      <c r="C500" s="123"/>
      <c r="D500" s="27"/>
      <c r="E500" s="27"/>
      <c r="F500" s="27"/>
      <c r="G500" s="27"/>
    </row>
    <row r="501" spans="1:7" ht="14.45" customHeight="1">
      <c r="B501" s="29">
        <v>48</v>
      </c>
      <c r="C501" s="123" t="s">
        <v>286</v>
      </c>
      <c r="D501" s="27"/>
      <c r="E501" s="27"/>
      <c r="F501" s="27"/>
      <c r="G501" s="27"/>
    </row>
    <row r="502" spans="1:7" ht="14.45" customHeight="1">
      <c r="A502" s="66"/>
      <c r="B502" s="67" t="s">
        <v>155</v>
      </c>
      <c r="C502" s="68" t="s">
        <v>167</v>
      </c>
      <c r="D502" s="20">
        <v>2103</v>
      </c>
      <c r="E502" s="13">
        <v>1</v>
      </c>
      <c r="F502" s="20">
        <v>1</v>
      </c>
      <c r="G502" s="13">
        <v>7270</v>
      </c>
    </row>
    <row r="503" spans="1:7" ht="14.45" customHeight="1">
      <c r="A503" s="28" t="s">
        <v>426</v>
      </c>
      <c r="B503" s="60" t="s">
        <v>156</v>
      </c>
      <c r="C503" s="123" t="s">
        <v>425</v>
      </c>
      <c r="D503" s="15">
        <v>878</v>
      </c>
      <c r="E503" s="2">
        <v>1</v>
      </c>
      <c r="F503" s="15">
        <v>1</v>
      </c>
      <c r="G503" s="2">
        <v>6351</v>
      </c>
    </row>
    <row r="504" spans="1:7" ht="14.45" customHeight="1">
      <c r="B504" s="60" t="s">
        <v>223</v>
      </c>
      <c r="C504" s="123" t="s">
        <v>241</v>
      </c>
      <c r="D504" s="15">
        <v>234</v>
      </c>
      <c r="E504" s="15">
        <v>1</v>
      </c>
      <c r="F504" s="15">
        <v>1</v>
      </c>
      <c r="G504" s="2">
        <v>1</v>
      </c>
    </row>
    <row r="505" spans="1:7" ht="14.45" customHeight="1">
      <c r="B505" s="60" t="s">
        <v>224</v>
      </c>
      <c r="C505" s="123" t="s">
        <v>242</v>
      </c>
      <c r="D505" s="20">
        <v>98</v>
      </c>
      <c r="E505" s="20">
        <v>1</v>
      </c>
      <c r="F505" s="20">
        <v>1</v>
      </c>
      <c r="G505" s="13">
        <v>1</v>
      </c>
    </row>
    <row r="506" spans="1:7" ht="14.45" customHeight="1">
      <c r="A506" s="62" t="s">
        <v>5</v>
      </c>
      <c r="B506" s="63">
        <v>48</v>
      </c>
      <c r="C506" s="64" t="s">
        <v>286</v>
      </c>
      <c r="D506" s="13">
        <f t="shared" ref="D506:F506" si="86">SUM(D502:D505)</f>
        <v>3313</v>
      </c>
      <c r="E506" s="13">
        <f>SUM(E502:E505)</f>
        <v>4</v>
      </c>
      <c r="F506" s="13">
        <f t="shared" si="86"/>
        <v>4</v>
      </c>
      <c r="G506" s="13">
        <v>13623</v>
      </c>
    </row>
    <row r="507" spans="1:7" ht="11.25" customHeight="1">
      <c r="C507" s="123"/>
      <c r="D507" s="27"/>
      <c r="E507" s="27"/>
      <c r="F507" s="27"/>
      <c r="G507" s="27"/>
    </row>
    <row r="508" spans="1:7" ht="14.45" customHeight="1">
      <c r="B508" s="29">
        <v>66</v>
      </c>
      <c r="C508" s="123" t="s">
        <v>133</v>
      </c>
      <c r="D508" s="27"/>
      <c r="E508" s="27"/>
      <c r="F508" s="27"/>
      <c r="G508" s="27"/>
    </row>
    <row r="509" spans="1:7" ht="14.45" customHeight="1">
      <c r="B509" s="60" t="s">
        <v>146</v>
      </c>
      <c r="C509" s="123" t="s">
        <v>416</v>
      </c>
      <c r="D509" s="2">
        <v>499</v>
      </c>
      <c r="E509" s="2">
        <v>3500</v>
      </c>
      <c r="F509" s="2">
        <v>3500</v>
      </c>
      <c r="G509" s="15">
        <v>3500</v>
      </c>
    </row>
    <row r="510" spans="1:7" ht="27" customHeight="1">
      <c r="B510" s="60" t="s">
        <v>157</v>
      </c>
      <c r="C510" s="123" t="s">
        <v>226</v>
      </c>
      <c r="D510" s="2">
        <v>2506</v>
      </c>
      <c r="E510" s="2">
        <v>1</v>
      </c>
      <c r="F510" s="2">
        <v>1</v>
      </c>
      <c r="G510" s="15">
        <v>15580</v>
      </c>
    </row>
    <row r="511" spans="1:7" ht="25.5">
      <c r="B511" s="60" t="s">
        <v>225</v>
      </c>
      <c r="C511" s="123" t="s">
        <v>460</v>
      </c>
      <c r="D511" s="2">
        <v>278</v>
      </c>
      <c r="E511" s="2">
        <v>1</v>
      </c>
      <c r="F511" s="2">
        <v>1</v>
      </c>
      <c r="G511" s="15">
        <v>1</v>
      </c>
    </row>
    <row r="512" spans="1:7" ht="14.45" customHeight="1">
      <c r="A512" s="28" t="s">
        <v>5</v>
      </c>
      <c r="B512" s="29">
        <v>66</v>
      </c>
      <c r="C512" s="123" t="s">
        <v>133</v>
      </c>
      <c r="D512" s="10">
        <f t="shared" ref="D512:F512" si="87">SUM(D509:D511)</f>
        <v>3283</v>
      </c>
      <c r="E512" s="10">
        <f t="shared" si="87"/>
        <v>3502</v>
      </c>
      <c r="F512" s="10">
        <f t="shared" si="87"/>
        <v>3502</v>
      </c>
      <c r="G512" s="10">
        <v>19081</v>
      </c>
    </row>
    <row r="513" spans="1:7" ht="12" customHeight="1">
      <c r="C513" s="123"/>
      <c r="D513" s="15"/>
      <c r="E513" s="15"/>
      <c r="F513" s="15"/>
      <c r="G513" s="15"/>
    </row>
    <row r="514" spans="1:7" ht="14.45" customHeight="1">
      <c r="B514" s="29">
        <v>67</v>
      </c>
      <c r="C514" s="123" t="s">
        <v>418</v>
      </c>
      <c r="D514" s="2"/>
      <c r="E514" s="2"/>
      <c r="F514" s="2"/>
      <c r="G514" s="2"/>
    </row>
    <row r="515" spans="1:7" ht="14.45" customHeight="1">
      <c r="B515" s="29" t="s">
        <v>424</v>
      </c>
      <c r="C515" s="123" t="s">
        <v>417</v>
      </c>
      <c r="D515" s="1">
        <v>0</v>
      </c>
      <c r="E515" s="2">
        <v>1000</v>
      </c>
      <c r="F515" s="2">
        <v>1000</v>
      </c>
      <c r="G515" s="12">
        <v>0</v>
      </c>
    </row>
    <row r="516" spans="1:7" ht="14.45" customHeight="1">
      <c r="A516" s="28" t="s">
        <v>5</v>
      </c>
      <c r="B516" s="29">
        <v>67</v>
      </c>
      <c r="C516" s="123" t="s">
        <v>418</v>
      </c>
      <c r="D516" s="3">
        <f t="shared" ref="D516:F516" si="88">D515</f>
        <v>0</v>
      </c>
      <c r="E516" s="4">
        <f t="shared" si="88"/>
        <v>1000</v>
      </c>
      <c r="F516" s="4">
        <f t="shared" si="88"/>
        <v>1000</v>
      </c>
      <c r="G516" s="3">
        <v>0</v>
      </c>
    </row>
    <row r="517" spans="1:7" ht="14.45" customHeight="1">
      <c r="A517" s="28" t="s">
        <v>5</v>
      </c>
      <c r="B517" s="29">
        <v>13</v>
      </c>
      <c r="C517" s="123" t="s">
        <v>247</v>
      </c>
      <c r="D517" s="20">
        <f t="shared" ref="D517:F517" si="89">D512+D506+D499+D494+D489+D476+D480+D516</f>
        <v>20241</v>
      </c>
      <c r="E517" s="20">
        <f t="shared" si="89"/>
        <v>105007</v>
      </c>
      <c r="F517" s="20">
        <f t="shared" si="89"/>
        <v>31120</v>
      </c>
      <c r="G517" s="20">
        <v>147760</v>
      </c>
    </row>
    <row r="518" spans="1:7" ht="11.25" customHeight="1">
      <c r="C518" s="123"/>
      <c r="D518" s="15"/>
      <c r="E518" s="15"/>
      <c r="F518" s="15"/>
      <c r="G518" s="15"/>
    </row>
    <row r="519" spans="1:7" s="65" customFormat="1" ht="25.5">
      <c r="A519" s="62"/>
      <c r="B519" s="63">
        <v>14</v>
      </c>
      <c r="C519" s="64" t="s">
        <v>445</v>
      </c>
      <c r="D519" s="15"/>
      <c r="E519" s="15"/>
      <c r="F519" s="15"/>
      <c r="G519" s="15"/>
    </row>
    <row r="520" spans="1:7">
      <c r="B520" s="29" t="s">
        <v>446</v>
      </c>
      <c r="C520" s="123" t="s">
        <v>350</v>
      </c>
      <c r="D520" s="1">
        <v>0</v>
      </c>
      <c r="E520" s="1">
        <v>0</v>
      </c>
      <c r="F520" s="1">
        <v>0</v>
      </c>
      <c r="G520" s="13">
        <v>13465</v>
      </c>
    </row>
    <row r="521" spans="1:7" ht="25.5">
      <c r="A521" s="28" t="s">
        <v>5</v>
      </c>
      <c r="B521" s="63">
        <v>14</v>
      </c>
      <c r="C521" s="64" t="s">
        <v>445</v>
      </c>
      <c r="D521" s="3">
        <f t="shared" ref="D521:F521" si="90">D520</f>
        <v>0</v>
      </c>
      <c r="E521" s="3">
        <f t="shared" si="90"/>
        <v>0</v>
      </c>
      <c r="F521" s="3">
        <f t="shared" si="90"/>
        <v>0</v>
      </c>
      <c r="G521" s="4">
        <v>13465</v>
      </c>
    </row>
    <row r="522" spans="1:7" ht="15" customHeight="1">
      <c r="A522" s="62" t="s">
        <v>5</v>
      </c>
      <c r="B522" s="113">
        <v>2.11</v>
      </c>
      <c r="C522" s="102" t="s">
        <v>250</v>
      </c>
      <c r="D522" s="13">
        <f>D470+D438+D447+D429+D420+D411+D517+D454+D461+D521</f>
        <v>177652</v>
      </c>
      <c r="E522" s="13">
        <f t="shared" ref="E522:F522" si="91">E470+E438+E447+E429+E420+E411+E517+E454+E461+E521</f>
        <v>257234</v>
      </c>
      <c r="F522" s="13">
        <f t="shared" si="91"/>
        <v>174921</v>
      </c>
      <c r="G522" s="13">
        <v>321533</v>
      </c>
    </row>
    <row r="523" spans="1:7" ht="15" customHeight="1">
      <c r="B523" s="57"/>
      <c r="C523" s="58"/>
      <c r="D523" s="27"/>
      <c r="E523" s="27"/>
      <c r="F523" s="27"/>
      <c r="G523" s="27"/>
    </row>
    <row r="524" spans="1:7" ht="15" customHeight="1">
      <c r="B524" s="76">
        <v>2.1110000000000002</v>
      </c>
      <c r="C524" s="58" t="s">
        <v>104</v>
      </c>
      <c r="D524" s="27"/>
      <c r="E524" s="27"/>
      <c r="F524" s="27"/>
      <c r="G524" s="27"/>
    </row>
    <row r="525" spans="1:7" ht="15" customHeight="1">
      <c r="B525" s="29">
        <v>61</v>
      </c>
      <c r="C525" s="123" t="s">
        <v>300</v>
      </c>
      <c r="D525" s="27"/>
      <c r="E525" s="27"/>
      <c r="F525" s="27"/>
      <c r="G525" s="27"/>
    </row>
    <row r="526" spans="1:7" ht="15" customHeight="1">
      <c r="B526" s="29" t="s">
        <v>105</v>
      </c>
      <c r="C526" s="123" t="s">
        <v>12</v>
      </c>
      <c r="D526" s="2">
        <v>13937</v>
      </c>
      <c r="E526" s="2">
        <v>16383</v>
      </c>
      <c r="F526" s="2">
        <f>16383-2830</f>
        <v>13553</v>
      </c>
      <c r="G526" s="2">
        <v>8893</v>
      </c>
    </row>
    <row r="527" spans="1:7" s="65" customFormat="1" ht="15" customHeight="1">
      <c r="A527" s="62"/>
      <c r="B527" s="63" t="s">
        <v>106</v>
      </c>
      <c r="C527" s="64" t="s">
        <v>32</v>
      </c>
      <c r="D527" s="2">
        <v>840</v>
      </c>
      <c r="E527" s="2">
        <v>840</v>
      </c>
      <c r="F527" s="2">
        <v>840</v>
      </c>
      <c r="G527" s="2">
        <v>962</v>
      </c>
    </row>
    <row r="528" spans="1:7" s="47" customFormat="1" ht="15" customHeight="1">
      <c r="A528" s="43"/>
      <c r="B528" s="44" t="s">
        <v>375</v>
      </c>
      <c r="C528" s="43" t="s">
        <v>312</v>
      </c>
      <c r="D528" s="1">
        <v>0</v>
      </c>
      <c r="E528" s="2">
        <v>1</v>
      </c>
      <c r="F528" s="2">
        <v>1</v>
      </c>
      <c r="G528" s="2">
        <v>445</v>
      </c>
    </row>
    <row r="529" spans="1:7" s="47" customFormat="1" ht="15" customHeight="1">
      <c r="A529" s="43"/>
      <c r="B529" s="44" t="s">
        <v>376</v>
      </c>
      <c r="C529" s="43" t="s">
        <v>313</v>
      </c>
      <c r="D529" s="1">
        <v>0</v>
      </c>
      <c r="E529" s="2">
        <v>1</v>
      </c>
      <c r="F529" s="2">
        <v>1</v>
      </c>
      <c r="G529" s="2">
        <v>7395</v>
      </c>
    </row>
    <row r="530" spans="1:7" ht="15" customHeight="1">
      <c r="B530" s="29" t="s">
        <v>107</v>
      </c>
      <c r="C530" s="43" t="s">
        <v>314</v>
      </c>
      <c r="D530" s="15">
        <v>41</v>
      </c>
      <c r="E530" s="15">
        <v>42</v>
      </c>
      <c r="F530" s="15">
        <v>42</v>
      </c>
      <c r="G530" s="2">
        <v>42</v>
      </c>
    </row>
    <row r="531" spans="1:7" ht="15" customHeight="1">
      <c r="B531" s="29" t="s">
        <v>108</v>
      </c>
      <c r="C531" s="123" t="s">
        <v>16</v>
      </c>
      <c r="D531" s="2">
        <v>107</v>
      </c>
      <c r="E531" s="2">
        <v>106</v>
      </c>
      <c r="F531" s="2">
        <v>106</v>
      </c>
      <c r="G531" s="2">
        <v>106</v>
      </c>
    </row>
    <row r="532" spans="1:7" ht="15" customHeight="1">
      <c r="A532" s="62"/>
      <c r="B532" s="63" t="s">
        <v>419</v>
      </c>
      <c r="C532" s="64" t="s">
        <v>417</v>
      </c>
      <c r="D532" s="1">
        <v>0</v>
      </c>
      <c r="E532" s="2">
        <v>7500</v>
      </c>
      <c r="F532" s="2">
        <v>7500</v>
      </c>
      <c r="G532" s="2">
        <v>6500</v>
      </c>
    </row>
    <row r="533" spans="1:7" s="110" customFormat="1" ht="15" customHeight="1">
      <c r="A533" s="108"/>
      <c r="B533" s="109" t="s">
        <v>377</v>
      </c>
      <c r="C533" s="108" t="s">
        <v>315</v>
      </c>
      <c r="D533" s="1">
        <v>0</v>
      </c>
      <c r="E533" s="2">
        <v>1</v>
      </c>
      <c r="F533" s="2">
        <v>1</v>
      </c>
      <c r="G533" s="2">
        <v>1</v>
      </c>
    </row>
    <row r="534" spans="1:7" ht="15" customHeight="1">
      <c r="B534" s="29" t="s">
        <v>126</v>
      </c>
      <c r="C534" s="123" t="s">
        <v>40</v>
      </c>
      <c r="D534" s="13">
        <v>5000</v>
      </c>
      <c r="E534" s="12">
        <v>0</v>
      </c>
      <c r="F534" s="12">
        <v>0</v>
      </c>
      <c r="G534" s="12">
        <v>0</v>
      </c>
    </row>
    <row r="535" spans="1:7" ht="15" customHeight="1">
      <c r="A535" s="62" t="s">
        <v>5</v>
      </c>
      <c r="B535" s="63">
        <v>61</v>
      </c>
      <c r="C535" s="64" t="s">
        <v>300</v>
      </c>
      <c r="D535" s="13">
        <f t="shared" ref="D535:F535" si="92">SUM(D525:D534)</f>
        <v>19925</v>
      </c>
      <c r="E535" s="13">
        <f t="shared" si="92"/>
        <v>24874</v>
      </c>
      <c r="F535" s="13">
        <f t="shared" si="92"/>
        <v>22044</v>
      </c>
      <c r="G535" s="13">
        <v>24344</v>
      </c>
    </row>
    <row r="536" spans="1:7" ht="15" customHeight="1">
      <c r="A536" s="62" t="s">
        <v>5</v>
      </c>
      <c r="B536" s="113">
        <v>2.1110000000000002</v>
      </c>
      <c r="C536" s="102" t="s">
        <v>104</v>
      </c>
      <c r="D536" s="4">
        <f t="shared" ref="D536:F536" si="93">D535</f>
        <v>19925</v>
      </c>
      <c r="E536" s="4">
        <f t="shared" si="93"/>
        <v>24874</v>
      </c>
      <c r="F536" s="4">
        <f t="shared" si="93"/>
        <v>22044</v>
      </c>
      <c r="G536" s="4">
        <v>24344</v>
      </c>
    </row>
    <row r="537" spans="1:7">
      <c r="C537" s="123"/>
      <c r="D537" s="27"/>
      <c r="E537" s="27"/>
      <c r="F537" s="27"/>
      <c r="G537" s="27"/>
    </row>
    <row r="538" spans="1:7" ht="13.9" customHeight="1">
      <c r="B538" s="76">
        <v>2.1120000000000001</v>
      </c>
      <c r="C538" s="58" t="s">
        <v>109</v>
      </c>
      <c r="D538" s="27"/>
      <c r="E538" s="27"/>
      <c r="F538" s="27"/>
      <c r="G538" s="27"/>
    </row>
    <row r="539" spans="1:7" ht="13.9" customHeight="1">
      <c r="B539" s="29">
        <v>45</v>
      </c>
      <c r="C539" s="123" t="s">
        <v>283</v>
      </c>
      <c r="D539" s="27"/>
      <c r="E539" s="27"/>
      <c r="F539" s="27"/>
      <c r="G539" s="27"/>
    </row>
    <row r="540" spans="1:7" ht="13.9" customHeight="1">
      <c r="B540" s="29" t="s">
        <v>41</v>
      </c>
      <c r="C540" s="123" t="s">
        <v>12</v>
      </c>
      <c r="D540" s="2">
        <v>51677</v>
      </c>
      <c r="E540" s="2">
        <v>56692</v>
      </c>
      <c r="F540" s="2">
        <f>56692-3363</f>
        <v>53329</v>
      </c>
      <c r="G540" s="2">
        <v>30686</v>
      </c>
    </row>
    <row r="541" spans="1:7" ht="13.9" customHeight="1">
      <c r="B541" s="60" t="s">
        <v>110</v>
      </c>
      <c r="C541" s="123" t="s">
        <v>32</v>
      </c>
      <c r="D541" s="2">
        <v>3499</v>
      </c>
      <c r="E541" s="2">
        <v>3290</v>
      </c>
      <c r="F541" s="2">
        <f>3290+269</f>
        <v>3559</v>
      </c>
      <c r="G541" s="2">
        <v>4054</v>
      </c>
    </row>
    <row r="542" spans="1:7" s="47" customFormat="1" ht="14.65" customHeight="1">
      <c r="A542" s="43"/>
      <c r="B542" s="44" t="s">
        <v>326</v>
      </c>
      <c r="C542" s="43" t="s">
        <v>312</v>
      </c>
      <c r="D542" s="1">
        <v>0</v>
      </c>
      <c r="E542" s="2">
        <v>1</v>
      </c>
      <c r="F542" s="2">
        <v>1</v>
      </c>
      <c r="G542" s="2">
        <v>1534</v>
      </c>
    </row>
    <row r="543" spans="1:7" s="47" customFormat="1" ht="14.65" customHeight="1">
      <c r="A543" s="43"/>
      <c r="B543" s="44" t="s">
        <v>327</v>
      </c>
      <c r="C543" s="43" t="s">
        <v>313</v>
      </c>
      <c r="D543" s="1">
        <v>0</v>
      </c>
      <c r="E543" s="2">
        <v>1</v>
      </c>
      <c r="F543" s="2">
        <v>1</v>
      </c>
      <c r="G543" s="2">
        <v>26405</v>
      </c>
    </row>
    <row r="544" spans="1:7" ht="13.9" customHeight="1">
      <c r="B544" s="60" t="s">
        <v>42</v>
      </c>
      <c r="C544" s="43" t="s">
        <v>314</v>
      </c>
      <c r="D544" s="2">
        <v>29</v>
      </c>
      <c r="E544" s="2">
        <v>29</v>
      </c>
      <c r="F544" s="2">
        <v>29</v>
      </c>
      <c r="G544" s="2">
        <v>29</v>
      </c>
    </row>
    <row r="545" spans="1:7" ht="13.9" customHeight="1">
      <c r="B545" s="60" t="s">
        <v>43</v>
      </c>
      <c r="C545" s="123" t="s">
        <v>16</v>
      </c>
      <c r="D545" s="2">
        <v>117</v>
      </c>
      <c r="E545" s="2">
        <v>127</v>
      </c>
      <c r="F545" s="2">
        <v>127</v>
      </c>
      <c r="G545" s="2">
        <v>127</v>
      </c>
    </row>
    <row r="546" spans="1:7" s="47" customFormat="1" ht="14.65" customHeight="1">
      <c r="A546" s="52"/>
      <c r="B546" s="53" t="s">
        <v>328</v>
      </c>
      <c r="C546" s="52" t="s">
        <v>315</v>
      </c>
      <c r="D546" s="12">
        <v>0</v>
      </c>
      <c r="E546" s="13">
        <v>1</v>
      </c>
      <c r="F546" s="13">
        <v>1</v>
      </c>
      <c r="G546" s="13">
        <v>1</v>
      </c>
    </row>
    <row r="547" spans="1:7" ht="13.9" customHeight="1">
      <c r="B547" s="60" t="s">
        <v>44</v>
      </c>
      <c r="C547" s="43" t="s">
        <v>467</v>
      </c>
      <c r="D547" s="2">
        <v>2061</v>
      </c>
      <c r="E547" s="2">
        <v>2063</v>
      </c>
      <c r="F547" s="2">
        <v>2063</v>
      </c>
      <c r="G547" s="2">
        <v>2063</v>
      </c>
    </row>
    <row r="548" spans="1:7" ht="13.9" customHeight="1">
      <c r="B548" s="60" t="s">
        <v>390</v>
      </c>
      <c r="C548" s="43" t="s">
        <v>391</v>
      </c>
      <c r="D548" s="1">
        <v>0</v>
      </c>
      <c r="E548" s="2">
        <v>9500</v>
      </c>
      <c r="F548" s="2">
        <v>9500</v>
      </c>
      <c r="G548" s="2">
        <v>10000</v>
      </c>
    </row>
    <row r="549" spans="1:7" ht="13.9" customHeight="1">
      <c r="A549" s="62"/>
      <c r="B549" s="107" t="s">
        <v>99</v>
      </c>
      <c r="C549" s="64" t="s">
        <v>134</v>
      </c>
      <c r="D549" s="2">
        <v>13490</v>
      </c>
      <c r="E549" s="1">
        <v>0</v>
      </c>
      <c r="F549" s="1">
        <v>0</v>
      </c>
      <c r="G549" s="1">
        <v>0</v>
      </c>
    </row>
    <row r="550" spans="1:7" ht="13.9" customHeight="1">
      <c r="A550" s="62" t="s">
        <v>5</v>
      </c>
      <c r="B550" s="63">
        <v>45</v>
      </c>
      <c r="C550" s="64" t="s">
        <v>283</v>
      </c>
      <c r="D550" s="4">
        <f t="shared" ref="D550:F550" si="94">SUM(D540:D549)</f>
        <v>70873</v>
      </c>
      <c r="E550" s="4">
        <f t="shared" si="94"/>
        <v>71704</v>
      </c>
      <c r="F550" s="4">
        <f t="shared" si="94"/>
        <v>68610</v>
      </c>
      <c r="G550" s="4">
        <v>74899</v>
      </c>
    </row>
    <row r="551" spans="1:7" ht="13.9" customHeight="1">
      <c r="C551" s="123"/>
      <c r="D551" s="2"/>
      <c r="E551" s="2"/>
      <c r="F551" s="2"/>
      <c r="G551" s="2"/>
    </row>
    <row r="552" spans="1:7" ht="14.45" customHeight="1">
      <c r="B552" s="77" t="s">
        <v>430</v>
      </c>
      <c r="C552" s="123" t="s">
        <v>284</v>
      </c>
      <c r="D552" s="2"/>
      <c r="E552" s="2"/>
      <c r="F552" s="2"/>
      <c r="G552" s="2"/>
    </row>
    <row r="553" spans="1:7" ht="14.45" customHeight="1">
      <c r="B553" s="77" t="s">
        <v>431</v>
      </c>
      <c r="C553" s="123" t="s">
        <v>432</v>
      </c>
      <c r="D553" s="2"/>
      <c r="E553" s="2"/>
      <c r="F553" s="2"/>
      <c r="G553" s="2"/>
    </row>
    <row r="554" spans="1:7" ht="14.45" customHeight="1">
      <c r="B554" s="77" t="s">
        <v>433</v>
      </c>
      <c r="C554" s="123" t="s">
        <v>417</v>
      </c>
      <c r="D554" s="1">
        <v>0</v>
      </c>
      <c r="E554" s="1">
        <v>0</v>
      </c>
      <c r="F554" s="2">
        <f>4400</f>
        <v>4400</v>
      </c>
      <c r="G554" s="2">
        <v>1800</v>
      </c>
    </row>
    <row r="555" spans="1:7" ht="14.45" customHeight="1">
      <c r="B555" s="77" t="s">
        <v>444</v>
      </c>
      <c r="C555" s="134" t="s">
        <v>395</v>
      </c>
      <c r="D555" s="1">
        <v>0</v>
      </c>
      <c r="E555" s="1">
        <v>0</v>
      </c>
      <c r="F555" s="1">
        <v>0</v>
      </c>
      <c r="G555" s="2">
        <v>4000</v>
      </c>
    </row>
    <row r="556" spans="1:7" ht="14.45" customHeight="1">
      <c r="A556" s="28" t="s">
        <v>5</v>
      </c>
      <c r="B556" s="77" t="s">
        <v>431</v>
      </c>
      <c r="C556" s="123" t="s">
        <v>432</v>
      </c>
      <c r="D556" s="3">
        <f>SUM(D554:D555)</f>
        <v>0</v>
      </c>
      <c r="E556" s="3">
        <f t="shared" ref="E556:F556" si="95">SUM(E554:E555)</f>
        <v>0</v>
      </c>
      <c r="F556" s="4">
        <f t="shared" si="95"/>
        <v>4400</v>
      </c>
      <c r="G556" s="4">
        <v>5800</v>
      </c>
    </row>
    <row r="557" spans="1:7" ht="14.45" customHeight="1">
      <c r="A557" s="28" t="s">
        <v>5</v>
      </c>
      <c r="B557" s="77">
        <v>48</v>
      </c>
      <c r="C557" s="123" t="s">
        <v>286</v>
      </c>
      <c r="D557" s="3">
        <f>D556</f>
        <v>0</v>
      </c>
      <c r="E557" s="3">
        <f t="shared" ref="E557:F557" si="96">E556</f>
        <v>0</v>
      </c>
      <c r="F557" s="4">
        <f t="shared" si="96"/>
        <v>4400</v>
      </c>
      <c r="G557" s="4">
        <v>5800</v>
      </c>
    </row>
    <row r="558" spans="1:7" ht="10.15" customHeight="1">
      <c r="C558" s="123"/>
      <c r="D558" s="27"/>
      <c r="E558" s="27"/>
      <c r="F558" s="27"/>
      <c r="G558" s="27"/>
    </row>
    <row r="559" spans="1:7" ht="14.45" customHeight="1">
      <c r="B559" s="77">
        <v>48</v>
      </c>
      <c r="C559" s="123" t="s">
        <v>286</v>
      </c>
      <c r="D559" s="27"/>
      <c r="E559" s="27"/>
      <c r="F559" s="27"/>
      <c r="G559" s="27"/>
    </row>
    <row r="560" spans="1:7" ht="14.45" customHeight="1">
      <c r="B560" s="77" t="s">
        <v>100</v>
      </c>
      <c r="C560" s="123" t="s">
        <v>32</v>
      </c>
      <c r="D560" s="13">
        <v>232</v>
      </c>
      <c r="E560" s="13">
        <v>1</v>
      </c>
      <c r="F560" s="13">
        <v>1</v>
      </c>
      <c r="G560" s="12">
        <v>0</v>
      </c>
    </row>
    <row r="561" spans="1:7" ht="14.45" customHeight="1">
      <c r="A561" s="28" t="s">
        <v>5</v>
      </c>
      <c r="B561" s="77">
        <v>48</v>
      </c>
      <c r="C561" s="123" t="s">
        <v>286</v>
      </c>
      <c r="D561" s="13">
        <f t="shared" ref="D561:F561" si="97">SUM(D560:D560)</f>
        <v>232</v>
      </c>
      <c r="E561" s="13">
        <f t="shared" si="97"/>
        <v>1</v>
      </c>
      <c r="F561" s="13">
        <f t="shared" si="97"/>
        <v>1</v>
      </c>
      <c r="G561" s="12">
        <v>0</v>
      </c>
    </row>
    <row r="562" spans="1:7" ht="14.45" customHeight="1">
      <c r="A562" s="28" t="s">
        <v>5</v>
      </c>
      <c r="B562" s="76">
        <v>2.1120000000000001</v>
      </c>
      <c r="C562" s="58" t="s">
        <v>109</v>
      </c>
      <c r="D562" s="4">
        <f t="shared" ref="D562:F562" si="98">SUM(D561,D550)</f>
        <v>71105</v>
      </c>
      <c r="E562" s="4">
        <f t="shared" si="98"/>
        <v>71705</v>
      </c>
      <c r="F562" s="4">
        <f t="shared" si="98"/>
        <v>68611</v>
      </c>
      <c r="G562" s="4">
        <v>74899</v>
      </c>
    </row>
    <row r="563" spans="1:7" ht="14.45" customHeight="1">
      <c r="A563" s="28" t="s">
        <v>5</v>
      </c>
      <c r="B563" s="79">
        <v>2</v>
      </c>
      <c r="C563" s="123" t="s">
        <v>251</v>
      </c>
      <c r="D563" s="4">
        <f t="shared" ref="D563:F563" si="99">D562+D536+D522+D557</f>
        <v>268682</v>
      </c>
      <c r="E563" s="4">
        <f t="shared" si="99"/>
        <v>353813</v>
      </c>
      <c r="F563" s="4">
        <f t="shared" si="99"/>
        <v>269976</v>
      </c>
      <c r="G563" s="4">
        <v>426576</v>
      </c>
    </row>
    <row r="564" spans="1:7">
      <c r="B564" s="79"/>
      <c r="C564" s="123"/>
      <c r="D564" s="14"/>
      <c r="E564" s="14"/>
      <c r="F564" s="14"/>
      <c r="G564" s="14"/>
    </row>
    <row r="565" spans="1:7" ht="14.45" customHeight="1">
      <c r="B565" s="79">
        <v>4</v>
      </c>
      <c r="C565" s="123" t="s">
        <v>171</v>
      </c>
      <c r="D565" s="2"/>
      <c r="E565" s="2"/>
      <c r="F565" s="2"/>
      <c r="G565" s="2"/>
    </row>
    <row r="566" spans="1:7" ht="14.45" customHeight="1">
      <c r="B566" s="76">
        <v>4.1029999999999998</v>
      </c>
      <c r="C566" s="58" t="s">
        <v>262</v>
      </c>
      <c r="D566" s="2"/>
      <c r="E566" s="2"/>
      <c r="F566" s="2"/>
      <c r="G566" s="2"/>
    </row>
    <row r="567" spans="1:7" ht="14.45" customHeight="1">
      <c r="B567" s="79">
        <v>1</v>
      </c>
      <c r="C567" s="123" t="s">
        <v>172</v>
      </c>
      <c r="D567" s="2"/>
      <c r="E567" s="2"/>
      <c r="F567" s="2"/>
      <c r="G567" s="2"/>
    </row>
    <row r="568" spans="1:7" ht="14.45" customHeight="1">
      <c r="B568" s="79">
        <v>23</v>
      </c>
      <c r="C568" s="123" t="s">
        <v>173</v>
      </c>
      <c r="D568" s="2"/>
      <c r="E568" s="2"/>
      <c r="F568" s="2"/>
      <c r="G568" s="2"/>
    </row>
    <row r="569" spans="1:7" ht="14.45" customHeight="1">
      <c r="B569" s="79" t="s">
        <v>179</v>
      </c>
      <c r="C569" s="123" t="s">
        <v>177</v>
      </c>
      <c r="D569" s="2">
        <v>185800</v>
      </c>
      <c r="E569" s="2">
        <v>350000</v>
      </c>
      <c r="F569" s="2">
        <v>350000</v>
      </c>
      <c r="G569" s="2">
        <v>124880</v>
      </c>
    </row>
    <row r="570" spans="1:7" ht="14.45" customHeight="1">
      <c r="B570" s="79" t="s">
        <v>180</v>
      </c>
      <c r="C570" s="123" t="s">
        <v>174</v>
      </c>
      <c r="D570" s="2">
        <v>51400</v>
      </c>
      <c r="E570" s="2">
        <v>70000</v>
      </c>
      <c r="F570" s="2">
        <v>70000</v>
      </c>
      <c r="G570" s="2">
        <v>179680</v>
      </c>
    </row>
    <row r="571" spans="1:7" s="65" customFormat="1" ht="14.45" customHeight="1">
      <c r="A571" s="62"/>
      <c r="B571" s="101" t="s">
        <v>181</v>
      </c>
      <c r="C571" s="64" t="s">
        <v>175</v>
      </c>
      <c r="D571" s="2">
        <v>39100</v>
      </c>
      <c r="E571" s="2">
        <v>120000</v>
      </c>
      <c r="F571" s="2">
        <f>120000-8029</f>
        <v>111971</v>
      </c>
      <c r="G571" s="2">
        <v>81200</v>
      </c>
    </row>
    <row r="572" spans="1:7" ht="14.45" customHeight="1">
      <c r="B572" s="79" t="s">
        <v>182</v>
      </c>
      <c r="C572" s="123" t="s">
        <v>176</v>
      </c>
      <c r="D572" s="2">
        <v>76100</v>
      </c>
      <c r="E572" s="2">
        <v>62000</v>
      </c>
      <c r="F572" s="2">
        <f>62000-30594</f>
        <v>31406</v>
      </c>
      <c r="G572" s="2">
        <v>80320</v>
      </c>
    </row>
    <row r="573" spans="1:7" ht="14.45" customHeight="1">
      <c r="B573" s="79" t="s">
        <v>183</v>
      </c>
      <c r="C573" s="123" t="s">
        <v>245</v>
      </c>
      <c r="D573" s="2">
        <v>437600</v>
      </c>
      <c r="E573" s="2">
        <v>640000</v>
      </c>
      <c r="F573" s="2">
        <f>640000-411877</f>
        <v>228123</v>
      </c>
      <c r="G573" s="2">
        <v>308000</v>
      </c>
    </row>
    <row r="574" spans="1:7" ht="14.45" customHeight="1">
      <c r="B574" s="79" t="s">
        <v>184</v>
      </c>
      <c r="C574" s="123" t="s">
        <v>178</v>
      </c>
      <c r="D574" s="2">
        <v>10000</v>
      </c>
      <c r="E574" s="2">
        <v>8000</v>
      </c>
      <c r="F574" s="2">
        <v>8000</v>
      </c>
      <c r="G574" s="2">
        <v>25920</v>
      </c>
    </row>
    <row r="575" spans="1:7" ht="14.45" customHeight="1">
      <c r="A575" s="28" t="s">
        <v>5</v>
      </c>
      <c r="B575" s="79">
        <v>1</v>
      </c>
      <c r="C575" s="123" t="s">
        <v>172</v>
      </c>
      <c r="D575" s="4">
        <f t="shared" ref="D575:F575" si="100">SUM(D569:D574)</f>
        <v>800000</v>
      </c>
      <c r="E575" s="4">
        <f t="shared" si="100"/>
        <v>1250000</v>
      </c>
      <c r="F575" s="4">
        <f t="shared" si="100"/>
        <v>799500</v>
      </c>
      <c r="G575" s="4">
        <v>800000</v>
      </c>
    </row>
    <row r="576" spans="1:7" ht="14.45" customHeight="1">
      <c r="A576" s="28" t="s">
        <v>5</v>
      </c>
      <c r="B576" s="76">
        <v>4.1029999999999998</v>
      </c>
      <c r="C576" s="58" t="s">
        <v>262</v>
      </c>
      <c r="D576" s="4">
        <f t="shared" ref="D576:F577" si="101">D575</f>
        <v>800000</v>
      </c>
      <c r="E576" s="4">
        <f t="shared" si="101"/>
        <v>1250000</v>
      </c>
      <c r="F576" s="4">
        <f t="shared" si="101"/>
        <v>799500</v>
      </c>
      <c r="G576" s="4">
        <v>800000</v>
      </c>
    </row>
    <row r="577" spans="1:7" ht="14.45" customHeight="1">
      <c r="A577" s="28" t="s">
        <v>5</v>
      </c>
      <c r="B577" s="79">
        <v>4</v>
      </c>
      <c r="C577" s="125" t="s">
        <v>171</v>
      </c>
      <c r="D577" s="4">
        <f t="shared" si="101"/>
        <v>800000</v>
      </c>
      <c r="E577" s="4">
        <f t="shared" si="101"/>
        <v>1250000</v>
      </c>
      <c r="F577" s="4">
        <f t="shared" si="101"/>
        <v>799500</v>
      </c>
      <c r="G577" s="4">
        <v>800000</v>
      </c>
    </row>
    <row r="578" spans="1:7" s="65" customFormat="1" ht="14.45" customHeight="1">
      <c r="A578" s="62" t="s">
        <v>5</v>
      </c>
      <c r="B578" s="114">
        <v>2406</v>
      </c>
      <c r="C578" s="102" t="s">
        <v>248</v>
      </c>
      <c r="D578" s="4">
        <f t="shared" ref="D578:F578" si="102">D563+D400+D577</f>
        <v>1986648</v>
      </c>
      <c r="E578" s="4">
        <f t="shared" si="102"/>
        <v>2927427</v>
      </c>
      <c r="F578" s="4">
        <f t="shared" si="102"/>
        <v>2221408</v>
      </c>
      <c r="G578" s="4">
        <v>2574129</v>
      </c>
    </row>
    <row r="579" spans="1:7" s="65" customFormat="1">
      <c r="A579" s="62"/>
      <c r="B579" s="114"/>
      <c r="C579" s="64"/>
      <c r="D579" s="36"/>
      <c r="E579" s="36"/>
      <c r="F579" s="36"/>
      <c r="G579" s="36"/>
    </row>
    <row r="580" spans="1:7" ht="14.45" customHeight="1">
      <c r="A580" s="28" t="s">
        <v>7</v>
      </c>
      <c r="B580" s="57">
        <v>3435</v>
      </c>
      <c r="C580" s="58" t="s">
        <v>1</v>
      </c>
      <c r="D580" s="27"/>
      <c r="E580" s="27"/>
      <c r="F580" s="27"/>
      <c r="G580" s="27"/>
    </row>
    <row r="581" spans="1:7" ht="15" customHeight="1">
      <c r="B581" s="79">
        <v>3</v>
      </c>
      <c r="C581" s="125" t="s">
        <v>466</v>
      </c>
      <c r="D581" s="27"/>
      <c r="E581" s="27"/>
      <c r="F581" s="27"/>
      <c r="G581" s="27"/>
    </row>
    <row r="582" spans="1:7" ht="14.45" customHeight="1">
      <c r="B582" s="76">
        <v>3.0009999999999999</v>
      </c>
      <c r="C582" s="58" t="s">
        <v>8</v>
      </c>
      <c r="D582" s="27"/>
      <c r="E582" s="27"/>
      <c r="F582" s="27"/>
      <c r="G582" s="27"/>
    </row>
    <row r="583" spans="1:7" ht="14.45" customHeight="1">
      <c r="B583" s="88">
        <v>0.44</v>
      </c>
      <c r="C583" s="123" t="s">
        <v>10</v>
      </c>
      <c r="D583" s="27"/>
      <c r="E583" s="27"/>
      <c r="F583" s="27"/>
      <c r="G583" s="27"/>
    </row>
    <row r="584" spans="1:7" ht="14.45" customHeight="1">
      <c r="A584" s="62"/>
      <c r="B584" s="107" t="s">
        <v>111</v>
      </c>
      <c r="C584" s="64" t="s">
        <v>12</v>
      </c>
      <c r="D584" s="15">
        <v>17147</v>
      </c>
      <c r="E584" s="15">
        <v>19041</v>
      </c>
      <c r="F584" s="15">
        <f>19041-728</f>
        <v>18313</v>
      </c>
      <c r="G584" s="2">
        <v>11371</v>
      </c>
    </row>
    <row r="585" spans="1:7" s="47" customFormat="1" ht="14.65" customHeight="1">
      <c r="A585" s="108"/>
      <c r="B585" s="109" t="s">
        <v>378</v>
      </c>
      <c r="C585" s="108" t="s">
        <v>312</v>
      </c>
      <c r="D585" s="1">
        <v>0</v>
      </c>
      <c r="E585" s="2">
        <v>1</v>
      </c>
      <c r="F585" s="2">
        <v>1</v>
      </c>
      <c r="G585" s="2">
        <v>569</v>
      </c>
    </row>
    <row r="586" spans="1:7" s="47" customFormat="1" ht="14.65" customHeight="1">
      <c r="A586" s="43"/>
      <c r="B586" s="44" t="s">
        <v>379</v>
      </c>
      <c r="C586" s="43" t="s">
        <v>313</v>
      </c>
      <c r="D586" s="1">
        <v>0</v>
      </c>
      <c r="E586" s="2">
        <v>1</v>
      </c>
      <c r="F586" s="2">
        <v>1</v>
      </c>
      <c r="G586" s="2">
        <v>9182</v>
      </c>
    </row>
    <row r="587" spans="1:7" ht="14.45" customHeight="1">
      <c r="B587" s="60" t="s">
        <v>112</v>
      </c>
      <c r="C587" s="123" t="s">
        <v>16</v>
      </c>
      <c r="D587" s="15">
        <v>37</v>
      </c>
      <c r="E587" s="15">
        <v>37</v>
      </c>
      <c r="F587" s="15">
        <v>37</v>
      </c>
      <c r="G587" s="2">
        <v>37</v>
      </c>
    </row>
    <row r="588" spans="1:7" ht="14.45" customHeight="1">
      <c r="B588" s="60" t="s">
        <v>113</v>
      </c>
      <c r="C588" s="123" t="s">
        <v>145</v>
      </c>
      <c r="D588" s="13">
        <v>1881</v>
      </c>
      <c r="E588" s="13">
        <v>2500</v>
      </c>
      <c r="F588" s="13">
        <v>2500</v>
      </c>
      <c r="G588" s="13">
        <v>2500</v>
      </c>
    </row>
    <row r="589" spans="1:7" ht="14.45" customHeight="1">
      <c r="A589" s="28" t="s">
        <v>5</v>
      </c>
      <c r="B589" s="88">
        <v>0.44</v>
      </c>
      <c r="C589" s="123" t="s">
        <v>10</v>
      </c>
      <c r="D589" s="13">
        <f t="shared" ref="D589:F589" si="103">SUM(D584:D588)</f>
        <v>19065</v>
      </c>
      <c r="E589" s="13">
        <f>SUM(E584:E588)</f>
        <v>21580</v>
      </c>
      <c r="F589" s="13">
        <f t="shared" si="103"/>
        <v>20852</v>
      </c>
      <c r="G589" s="13">
        <v>23659</v>
      </c>
    </row>
    <row r="590" spans="1:7" ht="14.45" customHeight="1">
      <c r="A590" s="28" t="s">
        <v>5</v>
      </c>
      <c r="B590" s="76">
        <v>3.0009999999999999</v>
      </c>
      <c r="C590" s="58" t="s">
        <v>8</v>
      </c>
      <c r="D590" s="4">
        <f t="shared" ref="D590:F590" si="104">D589</f>
        <v>19065</v>
      </c>
      <c r="E590" s="4">
        <f t="shared" si="104"/>
        <v>21580</v>
      </c>
      <c r="F590" s="4">
        <f t="shared" si="104"/>
        <v>20852</v>
      </c>
      <c r="G590" s="4">
        <v>23659</v>
      </c>
    </row>
    <row r="591" spans="1:7">
      <c r="B591" s="76"/>
      <c r="C591" s="58"/>
      <c r="D591" s="27"/>
      <c r="E591" s="27"/>
      <c r="F591" s="27"/>
      <c r="G591" s="27"/>
    </row>
    <row r="592" spans="1:7" ht="14.85" customHeight="1">
      <c r="B592" s="76">
        <v>3.101</v>
      </c>
      <c r="C592" s="58" t="s">
        <v>114</v>
      </c>
      <c r="D592" s="27"/>
      <c r="E592" s="27"/>
      <c r="F592" s="27"/>
      <c r="G592" s="27"/>
    </row>
    <row r="593" spans="1:7" ht="15" customHeight="1">
      <c r="A593" s="66"/>
      <c r="B593" s="71">
        <v>12</v>
      </c>
      <c r="C593" s="68" t="s">
        <v>143</v>
      </c>
      <c r="D593" s="13"/>
      <c r="E593" s="13"/>
      <c r="F593" s="13"/>
      <c r="G593" s="13"/>
    </row>
    <row r="594" spans="1:7" ht="27.95" customHeight="1">
      <c r="B594" s="93" t="s">
        <v>158</v>
      </c>
      <c r="C594" s="123" t="s">
        <v>168</v>
      </c>
      <c r="D594" s="15">
        <v>8725</v>
      </c>
      <c r="E594" s="2">
        <v>10830</v>
      </c>
      <c r="F594" s="15">
        <v>10830</v>
      </c>
      <c r="G594" s="2">
        <v>16325</v>
      </c>
    </row>
    <row r="595" spans="1:7" s="65" customFormat="1" ht="27.95" customHeight="1">
      <c r="A595" s="62"/>
      <c r="B595" s="116" t="s">
        <v>159</v>
      </c>
      <c r="C595" s="131" t="s">
        <v>170</v>
      </c>
      <c r="D595" s="11">
        <v>0</v>
      </c>
      <c r="E595" s="2">
        <v>8573</v>
      </c>
      <c r="F595" s="11">
        <v>0</v>
      </c>
      <c r="G595" s="2">
        <v>8573</v>
      </c>
    </row>
    <row r="596" spans="1:7" ht="27.95" customHeight="1">
      <c r="B596" s="93" t="s">
        <v>160</v>
      </c>
      <c r="C596" s="94" t="s">
        <v>161</v>
      </c>
      <c r="D596" s="11">
        <v>0</v>
      </c>
      <c r="E596" s="2">
        <v>17195</v>
      </c>
      <c r="F596" s="15">
        <f>17195-10668</f>
        <v>6527</v>
      </c>
      <c r="G596" s="2">
        <v>16669</v>
      </c>
    </row>
    <row r="597" spans="1:7" ht="27.95" customHeight="1">
      <c r="B597" s="93" t="s">
        <v>185</v>
      </c>
      <c r="C597" s="94" t="s">
        <v>186</v>
      </c>
      <c r="D597" s="11">
        <v>0</v>
      </c>
      <c r="E597" s="2">
        <v>1</v>
      </c>
      <c r="F597" s="15">
        <v>1</v>
      </c>
      <c r="G597" s="2">
        <v>1</v>
      </c>
    </row>
    <row r="598" spans="1:7" ht="27.95" customHeight="1">
      <c r="B598" s="93" t="s">
        <v>187</v>
      </c>
      <c r="C598" s="94" t="s">
        <v>190</v>
      </c>
      <c r="D598" s="11">
        <v>0</v>
      </c>
      <c r="E598" s="2">
        <v>1</v>
      </c>
      <c r="F598" s="15">
        <v>1</v>
      </c>
      <c r="G598" s="2">
        <v>1</v>
      </c>
    </row>
    <row r="599" spans="1:7" ht="27.95" customHeight="1">
      <c r="B599" s="93" t="s">
        <v>188</v>
      </c>
      <c r="C599" s="94" t="s">
        <v>191</v>
      </c>
      <c r="D599" s="11">
        <v>0</v>
      </c>
      <c r="E599" s="2">
        <v>9800</v>
      </c>
      <c r="F599" s="11">
        <v>0</v>
      </c>
      <c r="G599" s="2">
        <v>1</v>
      </c>
    </row>
    <row r="600" spans="1:7" ht="27.95" customHeight="1">
      <c r="B600" s="93" t="s">
        <v>189</v>
      </c>
      <c r="C600" s="94" t="s">
        <v>192</v>
      </c>
      <c r="D600" s="11">
        <v>0</v>
      </c>
      <c r="E600" s="2">
        <v>1</v>
      </c>
      <c r="F600" s="15">
        <v>1</v>
      </c>
      <c r="G600" s="2">
        <v>1</v>
      </c>
    </row>
    <row r="601" spans="1:7" ht="27.95" customHeight="1">
      <c r="B601" s="93" t="s">
        <v>227</v>
      </c>
      <c r="C601" s="94" t="s">
        <v>232</v>
      </c>
      <c r="D601" s="11">
        <v>0</v>
      </c>
      <c r="E601" s="15">
        <v>1590</v>
      </c>
      <c r="F601" s="15">
        <v>1590</v>
      </c>
      <c r="G601" s="2">
        <v>1</v>
      </c>
    </row>
    <row r="602" spans="1:7" ht="27.95" customHeight="1">
      <c r="B602" s="93" t="s">
        <v>228</v>
      </c>
      <c r="C602" s="94" t="s">
        <v>233</v>
      </c>
      <c r="D602" s="11">
        <v>0</v>
      </c>
      <c r="E602" s="15">
        <v>1500</v>
      </c>
      <c r="F602" s="15">
        <v>1500</v>
      </c>
      <c r="G602" s="2">
        <v>800</v>
      </c>
    </row>
    <row r="603" spans="1:7" ht="27.95" customHeight="1">
      <c r="B603" s="93" t="s">
        <v>229</v>
      </c>
      <c r="C603" s="94" t="s">
        <v>234</v>
      </c>
      <c r="D603" s="11">
        <v>0</v>
      </c>
      <c r="E603" s="15">
        <v>1</v>
      </c>
      <c r="F603" s="15">
        <v>1</v>
      </c>
      <c r="G603" s="2">
        <v>1</v>
      </c>
    </row>
    <row r="604" spans="1:7" ht="27.95" customHeight="1">
      <c r="B604" s="93" t="s">
        <v>230</v>
      </c>
      <c r="C604" s="94" t="s">
        <v>235</v>
      </c>
      <c r="D604" s="11">
        <v>0</v>
      </c>
      <c r="E604" s="15">
        <v>1640</v>
      </c>
      <c r="F604" s="15">
        <v>1640</v>
      </c>
      <c r="G604" s="2">
        <v>1</v>
      </c>
    </row>
    <row r="605" spans="1:7" s="65" customFormat="1" ht="27.95" customHeight="1">
      <c r="A605" s="62"/>
      <c r="B605" s="116" t="s">
        <v>231</v>
      </c>
      <c r="C605" s="131" t="s">
        <v>236</v>
      </c>
      <c r="D605" s="11">
        <v>0</v>
      </c>
      <c r="E605" s="15">
        <v>1</v>
      </c>
      <c r="F605" s="15">
        <v>1</v>
      </c>
      <c r="G605" s="2">
        <v>1</v>
      </c>
    </row>
    <row r="606" spans="1:7" ht="27.95" customHeight="1">
      <c r="A606" s="62"/>
      <c r="B606" s="116" t="s">
        <v>281</v>
      </c>
      <c r="C606" s="64" t="s">
        <v>282</v>
      </c>
      <c r="D606" s="15">
        <v>969</v>
      </c>
      <c r="E606" s="15">
        <v>2060</v>
      </c>
      <c r="F606" s="15">
        <v>2060</v>
      </c>
      <c r="G606" s="2">
        <v>7590</v>
      </c>
    </row>
    <row r="607" spans="1:7" ht="27.95" customHeight="1">
      <c r="A607" s="62"/>
      <c r="B607" s="116" t="s">
        <v>392</v>
      </c>
      <c r="C607" s="64" t="s">
        <v>393</v>
      </c>
      <c r="D607" s="11">
        <v>0</v>
      </c>
      <c r="E607" s="2">
        <v>22940</v>
      </c>
      <c r="F607" s="11">
        <v>0</v>
      </c>
      <c r="G607" s="2">
        <v>26987</v>
      </c>
    </row>
    <row r="608" spans="1:7" ht="27.95" customHeight="1">
      <c r="A608" s="62"/>
      <c r="B608" s="116" t="s">
        <v>422</v>
      </c>
      <c r="C608" s="64" t="s">
        <v>423</v>
      </c>
      <c r="D608" s="16">
        <v>0</v>
      </c>
      <c r="E608" s="20">
        <v>1500</v>
      </c>
      <c r="F608" s="20">
        <f>1500-107</f>
        <v>1393</v>
      </c>
      <c r="G608" s="13">
        <v>1</v>
      </c>
    </row>
    <row r="609" spans="1:7" ht="15" customHeight="1">
      <c r="A609" s="62" t="s">
        <v>5</v>
      </c>
      <c r="B609" s="63">
        <v>12</v>
      </c>
      <c r="C609" s="64" t="s">
        <v>143</v>
      </c>
      <c r="D609" s="13">
        <f t="shared" ref="D609:F609" si="105">SUM(D594:D608)</f>
        <v>9694</v>
      </c>
      <c r="E609" s="13">
        <f>SUM(E594:E608)</f>
        <v>77633</v>
      </c>
      <c r="F609" s="13">
        <f t="shared" si="105"/>
        <v>25545</v>
      </c>
      <c r="G609" s="13">
        <v>76953</v>
      </c>
    </row>
    <row r="610" spans="1:7" s="69" customFormat="1" ht="13.15" customHeight="1">
      <c r="A610" s="62" t="s">
        <v>5</v>
      </c>
      <c r="B610" s="113">
        <v>3.101</v>
      </c>
      <c r="C610" s="102" t="s">
        <v>114</v>
      </c>
      <c r="D610" s="4">
        <f t="shared" ref="D610:F610" si="106">D609</f>
        <v>9694</v>
      </c>
      <c r="E610" s="4">
        <f t="shared" si="106"/>
        <v>77633</v>
      </c>
      <c r="F610" s="4">
        <f t="shared" si="106"/>
        <v>25545</v>
      </c>
      <c r="G610" s="4">
        <v>76953</v>
      </c>
    </row>
    <row r="611" spans="1:7" ht="9" customHeight="1">
      <c r="A611" s="62"/>
      <c r="B611" s="113"/>
      <c r="C611" s="102"/>
      <c r="D611" s="2"/>
      <c r="E611" s="2"/>
      <c r="F611" s="2"/>
      <c r="G611" s="2"/>
    </row>
    <row r="612" spans="1:7" ht="13.9" customHeight="1">
      <c r="A612" s="62"/>
      <c r="B612" s="113">
        <v>3.1030000000000002</v>
      </c>
      <c r="C612" s="102" t="s">
        <v>162</v>
      </c>
      <c r="D612" s="27"/>
      <c r="E612" s="27"/>
      <c r="F612" s="27"/>
      <c r="G612" s="27"/>
    </row>
    <row r="613" spans="1:7" ht="13.9" customHeight="1">
      <c r="A613" s="62"/>
      <c r="B613" s="117">
        <v>60</v>
      </c>
      <c r="C613" s="64" t="s">
        <v>115</v>
      </c>
      <c r="D613" s="27"/>
      <c r="E613" s="27"/>
      <c r="F613" s="27"/>
      <c r="G613" s="27"/>
    </row>
    <row r="614" spans="1:7" ht="13.9" customHeight="1">
      <c r="A614" s="62"/>
      <c r="B614" s="107" t="s">
        <v>116</v>
      </c>
      <c r="C614" s="64" t="s">
        <v>32</v>
      </c>
      <c r="D614" s="2">
        <v>326</v>
      </c>
      <c r="E614" s="15">
        <v>438</v>
      </c>
      <c r="F614" s="15">
        <v>438</v>
      </c>
      <c r="G614" s="2">
        <v>219</v>
      </c>
    </row>
    <row r="615" spans="1:7" ht="13.9" customHeight="1">
      <c r="A615" s="28" t="s">
        <v>5</v>
      </c>
      <c r="B615" s="95">
        <v>60</v>
      </c>
      <c r="C615" s="123" t="s">
        <v>115</v>
      </c>
      <c r="D615" s="35">
        <f t="shared" ref="D615:F615" si="107">SUM(D613:D614)</f>
        <v>326</v>
      </c>
      <c r="E615" s="10">
        <f t="shared" si="107"/>
        <v>438</v>
      </c>
      <c r="F615" s="35">
        <f t="shared" si="107"/>
        <v>438</v>
      </c>
      <c r="G615" s="10">
        <v>219</v>
      </c>
    </row>
    <row r="616" spans="1:7" ht="13.9" customHeight="1">
      <c r="A616" s="28" t="s">
        <v>5</v>
      </c>
      <c r="B616" s="76">
        <v>3.1030000000000002</v>
      </c>
      <c r="C616" s="58" t="s">
        <v>162</v>
      </c>
      <c r="D616" s="13">
        <f t="shared" ref="D616:F616" si="108">D615</f>
        <v>326</v>
      </c>
      <c r="E616" s="13">
        <f t="shared" si="108"/>
        <v>438</v>
      </c>
      <c r="F616" s="13">
        <f t="shared" si="108"/>
        <v>438</v>
      </c>
      <c r="G616" s="13">
        <v>219</v>
      </c>
    </row>
    <row r="617" spans="1:7" s="82" customFormat="1" ht="15" customHeight="1">
      <c r="A617" s="62" t="s">
        <v>5</v>
      </c>
      <c r="B617" s="101">
        <v>3</v>
      </c>
      <c r="C617" s="64" t="s">
        <v>466</v>
      </c>
      <c r="D617" s="13">
        <f t="shared" ref="D617:F617" si="109">D616+D610+D590</f>
        <v>29085</v>
      </c>
      <c r="E617" s="13">
        <f t="shared" si="109"/>
        <v>99651</v>
      </c>
      <c r="F617" s="13">
        <f t="shared" si="109"/>
        <v>46835</v>
      </c>
      <c r="G617" s="13">
        <v>100831</v>
      </c>
    </row>
    <row r="618" spans="1:7" s="82" customFormat="1" ht="10.5" customHeight="1">
      <c r="A618" s="28"/>
      <c r="B618" s="79"/>
      <c r="C618" s="123"/>
      <c r="D618" s="21"/>
      <c r="E618" s="21"/>
      <c r="F618" s="21"/>
      <c r="G618" s="21"/>
    </row>
    <row r="619" spans="1:7">
      <c r="B619" s="79">
        <v>4</v>
      </c>
      <c r="C619" s="123" t="s">
        <v>117</v>
      </c>
      <c r="D619" s="27"/>
      <c r="E619" s="27"/>
      <c r="F619" s="27"/>
      <c r="G619" s="27"/>
    </row>
    <row r="620" spans="1:7">
      <c r="B620" s="76">
        <v>4.8</v>
      </c>
      <c r="C620" s="58" t="s">
        <v>30</v>
      </c>
      <c r="D620" s="27"/>
      <c r="E620" s="27"/>
      <c r="F620" s="27"/>
      <c r="G620" s="27"/>
    </row>
    <row r="621" spans="1:7" ht="13.9" customHeight="1">
      <c r="B621" s="95">
        <v>62</v>
      </c>
      <c r="C621" s="123" t="s">
        <v>276</v>
      </c>
      <c r="D621" s="1"/>
      <c r="E621" s="2"/>
      <c r="F621" s="2"/>
      <c r="G621" s="1"/>
    </row>
    <row r="622" spans="1:7" ht="13.9" customHeight="1">
      <c r="B622" s="95" t="s">
        <v>164</v>
      </c>
      <c r="C622" s="123" t="s">
        <v>394</v>
      </c>
      <c r="D622" s="13">
        <v>8800</v>
      </c>
      <c r="E622" s="13">
        <v>6660</v>
      </c>
      <c r="F622" s="12">
        <v>0</v>
      </c>
      <c r="G622" s="13">
        <v>3160</v>
      </c>
    </row>
    <row r="623" spans="1:7" ht="13.9" customHeight="1">
      <c r="A623" s="28" t="s">
        <v>5</v>
      </c>
      <c r="B623" s="95">
        <v>62</v>
      </c>
      <c r="C623" s="123" t="s">
        <v>276</v>
      </c>
      <c r="D623" s="13">
        <f t="shared" ref="D623:F625" si="110">D622</f>
        <v>8800</v>
      </c>
      <c r="E623" s="13">
        <f t="shared" si="110"/>
        <v>6660</v>
      </c>
      <c r="F623" s="12">
        <f t="shared" si="110"/>
        <v>0</v>
      </c>
      <c r="G623" s="13">
        <v>3160</v>
      </c>
    </row>
    <row r="624" spans="1:7" s="69" customFormat="1" ht="13.9" customHeight="1">
      <c r="A624" s="28" t="s">
        <v>5</v>
      </c>
      <c r="B624" s="76">
        <v>4.8</v>
      </c>
      <c r="C624" s="58" t="s">
        <v>30</v>
      </c>
      <c r="D624" s="13">
        <f t="shared" si="110"/>
        <v>8800</v>
      </c>
      <c r="E624" s="13">
        <f t="shared" si="110"/>
        <v>6660</v>
      </c>
      <c r="F624" s="12">
        <f t="shared" si="110"/>
        <v>0</v>
      </c>
      <c r="G624" s="13">
        <v>3160</v>
      </c>
    </row>
    <row r="625" spans="1:7" ht="13.9" customHeight="1">
      <c r="A625" s="28" t="s">
        <v>5</v>
      </c>
      <c r="B625" s="79">
        <v>4</v>
      </c>
      <c r="C625" s="123" t="s">
        <v>117</v>
      </c>
      <c r="D625" s="13">
        <f t="shared" si="110"/>
        <v>8800</v>
      </c>
      <c r="E625" s="13">
        <f t="shared" si="110"/>
        <v>6660</v>
      </c>
      <c r="F625" s="12">
        <f t="shared" si="110"/>
        <v>0</v>
      </c>
      <c r="G625" s="13">
        <v>3160</v>
      </c>
    </row>
    <row r="626" spans="1:7" ht="13.9" customHeight="1">
      <c r="A626" s="66" t="s">
        <v>5</v>
      </c>
      <c r="B626" s="92">
        <v>3435</v>
      </c>
      <c r="C626" s="87" t="s">
        <v>1</v>
      </c>
      <c r="D626" s="4">
        <f t="shared" ref="D626:F626" si="111">D625+D617</f>
        <v>37885</v>
      </c>
      <c r="E626" s="4">
        <f t="shared" si="111"/>
        <v>106311</v>
      </c>
      <c r="F626" s="4">
        <f t="shared" si="111"/>
        <v>46835</v>
      </c>
      <c r="G626" s="4">
        <v>103991</v>
      </c>
    </row>
    <row r="627" spans="1:7" ht="13.9" customHeight="1">
      <c r="A627" s="96" t="s">
        <v>5</v>
      </c>
      <c r="B627" s="97"/>
      <c r="C627" s="98" t="s">
        <v>6</v>
      </c>
      <c r="D627" s="4">
        <f t="shared" ref="D627:F627" si="112">D578+D122+D626+D26</f>
        <v>2326886</v>
      </c>
      <c r="E627" s="4">
        <f t="shared" si="112"/>
        <v>3500777</v>
      </c>
      <c r="F627" s="4">
        <f t="shared" si="112"/>
        <v>2579283</v>
      </c>
      <c r="G627" s="4">
        <v>3149057</v>
      </c>
    </row>
    <row r="628" spans="1:7">
      <c r="C628" s="58"/>
      <c r="D628" s="27"/>
      <c r="E628" s="27"/>
      <c r="F628" s="27"/>
      <c r="G628" s="27"/>
    </row>
    <row r="629" spans="1:7" ht="13.9" customHeight="1">
      <c r="C629" s="58" t="s">
        <v>118</v>
      </c>
      <c r="D629" s="27"/>
      <c r="E629" s="27"/>
      <c r="F629" s="27"/>
      <c r="G629" s="27"/>
    </row>
    <row r="630" spans="1:7" ht="13.9" customHeight="1">
      <c r="A630" s="28" t="s">
        <v>7</v>
      </c>
      <c r="B630" s="57">
        <v>4406</v>
      </c>
      <c r="C630" s="58" t="s">
        <v>249</v>
      </c>
      <c r="D630" s="27"/>
      <c r="E630" s="27"/>
      <c r="F630" s="27"/>
      <c r="G630" s="27"/>
    </row>
    <row r="631" spans="1:7" ht="13.9" customHeight="1">
      <c r="B631" s="79">
        <v>1</v>
      </c>
      <c r="C631" s="123" t="s">
        <v>125</v>
      </c>
      <c r="D631" s="27"/>
      <c r="E631" s="27"/>
      <c r="F631" s="27"/>
      <c r="G631" s="27"/>
    </row>
    <row r="632" spans="1:7">
      <c r="B632" s="76">
        <v>1.07</v>
      </c>
      <c r="C632" s="58" t="s">
        <v>447</v>
      </c>
      <c r="D632" s="27"/>
      <c r="E632" s="27"/>
      <c r="F632" s="27"/>
      <c r="G632" s="27"/>
    </row>
    <row r="633" spans="1:7" ht="13.9" customHeight="1">
      <c r="B633" s="79">
        <v>60</v>
      </c>
      <c r="C633" s="123" t="s">
        <v>448</v>
      </c>
      <c r="D633" s="27"/>
      <c r="E633" s="27"/>
      <c r="F633" s="27"/>
      <c r="G633" s="27"/>
    </row>
    <row r="634" spans="1:7" ht="13.9" customHeight="1">
      <c r="B634" s="79">
        <v>70</v>
      </c>
      <c r="C634" s="123" t="s">
        <v>449</v>
      </c>
      <c r="D634" s="27"/>
      <c r="E634" s="27"/>
      <c r="F634" s="27"/>
      <c r="G634" s="27"/>
    </row>
    <row r="635" spans="1:7" ht="13.9" customHeight="1">
      <c r="B635" s="79" t="s">
        <v>450</v>
      </c>
      <c r="C635" s="123" t="s">
        <v>451</v>
      </c>
      <c r="D635" s="17">
        <v>0</v>
      </c>
      <c r="E635" s="17">
        <v>0</v>
      </c>
      <c r="F635" s="17">
        <v>0</v>
      </c>
      <c r="G635" s="2">
        <v>5000</v>
      </c>
    </row>
    <row r="636" spans="1:7" ht="13.9" customHeight="1">
      <c r="A636" s="28" t="s">
        <v>5</v>
      </c>
      <c r="B636" s="79">
        <v>70</v>
      </c>
      <c r="C636" s="123" t="s">
        <v>449</v>
      </c>
      <c r="D636" s="120">
        <f>D635</f>
        <v>0</v>
      </c>
      <c r="E636" s="120">
        <f t="shared" ref="E636:F638" si="113">E635</f>
        <v>0</v>
      </c>
      <c r="F636" s="120">
        <f t="shared" si="113"/>
        <v>0</v>
      </c>
      <c r="G636" s="121">
        <v>5000</v>
      </c>
    </row>
    <row r="637" spans="1:7" ht="13.9" customHeight="1">
      <c r="A637" s="28" t="s">
        <v>5</v>
      </c>
      <c r="B637" s="79">
        <v>60</v>
      </c>
      <c r="C637" s="123" t="s">
        <v>448</v>
      </c>
      <c r="D637" s="9">
        <f>D636</f>
        <v>0</v>
      </c>
      <c r="E637" s="9">
        <f t="shared" si="113"/>
        <v>0</v>
      </c>
      <c r="F637" s="9">
        <f t="shared" si="113"/>
        <v>0</v>
      </c>
      <c r="G637" s="35">
        <v>5000</v>
      </c>
    </row>
    <row r="638" spans="1:7" ht="13.9" customHeight="1">
      <c r="A638" s="28" t="s">
        <v>5</v>
      </c>
      <c r="B638" s="76">
        <v>1.07</v>
      </c>
      <c r="C638" s="58" t="s">
        <v>447</v>
      </c>
      <c r="D638" s="9">
        <f>D637</f>
        <v>0</v>
      </c>
      <c r="E638" s="9">
        <f t="shared" si="113"/>
        <v>0</v>
      </c>
      <c r="F638" s="9">
        <f t="shared" si="113"/>
        <v>0</v>
      </c>
      <c r="G638" s="35">
        <v>5000</v>
      </c>
    </row>
    <row r="639" spans="1:7" ht="13.9" customHeight="1">
      <c r="B639" s="79"/>
      <c r="C639" s="123"/>
      <c r="D639" s="27"/>
      <c r="E639" s="27"/>
      <c r="F639" s="27"/>
      <c r="G639" s="27"/>
    </row>
    <row r="640" spans="1:7" ht="27" customHeight="1">
      <c r="B640" s="76">
        <v>1.101</v>
      </c>
      <c r="C640" s="58" t="s">
        <v>73</v>
      </c>
      <c r="D640" s="27"/>
      <c r="E640" s="27"/>
      <c r="F640" s="27"/>
      <c r="G640" s="27"/>
    </row>
    <row r="641" spans="1:7" ht="27.95" customHeight="1">
      <c r="B641" s="29">
        <v>11</v>
      </c>
      <c r="C641" s="123" t="s">
        <v>169</v>
      </c>
      <c r="D641" s="1"/>
      <c r="E641" s="2"/>
      <c r="F641" s="2"/>
      <c r="G641" s="2"/>
    </row>
    <row r="642" spans="1:7" ht="15" customHeight="1">
      <c r="B642" s="77" t="s">
        <v>119</v>
      </c>
      <c r="C642" s="123" t="s">
        <v>10</v>
      </c>
      <c r="D642" s="1"/>
      <c r="E642" s="2"/>
      <c r="F642" s="2"/>
      <c r="G642" s="2"/>
    </row>
    <row r="643" spans="1:7">
      <c r="B643" s="78" t="s">
        <v>139</v>
      </c>
      <c r="C643" s="99" t="s">
        <v>414</v>
      </c>
      <c r="D643" s="2">
        <v>4791</v>
      </c>
      <c r="E643" s="2">
        <v>20000</v>
      </c>
      <c r="F643" s="2">
        <f>20000-5538</f>
        <v>14462</v>
      </c>
      <c r="G643" s="2">
        <v>126839</v>
      </c>
    </row>
    <row r="644" spans="1:7" ht="15" customHeight="1">
      <c r="B644" s="78" t="s">
        <v>165</v>
      </c>
      <c r="C644" s="123" t="s">
        <v>415</v>
      </c>
      <c r="D644" s="13">
        <v>532</v>
      </c>
      <c r="E644" s="13">
        <v>1500</v>
      </c>
      <c r="F644" s="13">
        <f>1500+107</f>
        <v>1607</v>
      </c>
      <c r="G644" s="13">
        <v>1500</v>
      </c>
    </row>
    <row r="645" spans="1:7" ht="15" customHeight="1">
      <c r="A645" s="28" t="s">
        <v>5</v>
      </c>
      <c r="B645" s="77" t="s">
        <v>119</v>
      </c>
      <c r="C645" s="125" t="s">
        <v>10</v>
      </c>
      <c r="D645" s="13">
        <f>SUM(D643:D644)</f>
        <v>5323</v>
      </c>
      <c r="E645" s="13">
        <f t="shared" ref="E645:F645" si="114">SUM(E643:E644)</f>
        <v>21500</v>
      </c>
      <c r="F645" s="13">
        <f t="shared" si="114"/>
        <v>16069</v>
      </c>
      <c r="G645" s="13">
        <v>128339</v>
      </c>
    </row>
    <row r="646" spans="1:7" ht="27.95" customHeight="1">
      <c r="A646" s="28" t="s">
        <v>5</v>
      </c>
      <c r="B646" s="29">
        <v>11</v>
      </c>
      <c r="C646" s="123" t="s">
        <v>169</v>
      </c>
      <c r="D646" s="4">
        <f>D645</f>
        <v>5323</v>
      </c>
      <c r="E646" s="4">
        <f t="shared" ref="E646:F646" si="115">E645</f>
        <v>21500</v>
      </c>
      <c r="F646" s="4">
        <f t="shared" si="115"/>
        <v>16069</v>
      </c>
      <c r="G646" s="4">
        <v>128339</v>
      </c>
    </row>
    <row r="647" spans="1:7" ht="27" customHeight="1">
      <c r="A647" s="28" t="s">
        <v>5</v>
      </c>
      <c r="B647" s="76">
        <v>1.101</v>
      </c>
      <c r="C647" s="58" t="s">
        <v>73</v>
      </c>
      <c r="D647" s="13">
        <f t="shared" ref="D647:F647" si="116">D646</f>
        <v>5323</v>
      </c>
      <c r="E647" s="13">
        <f t="shared" si="116"/>
        <v>21500</v>
      </c>
      <c r="F647" s="13">
        <f t="shared" si="116"/>
        <v>16069</v>
      </c>
      <c r="G647" s="13">
        <v>128339</v>
      </c>
    </row>
    <row r="648" spans="1:7" ht="15" customHeight="1">
      <c r="A648" s="62" t="s">
        <v>5</v>
      </c>
      <c r="B648" s="101">
        <v>1</v>
      </c>
      <c r="C648" s="64" t="s">
        <v>125</v>
      </c>
      <c r="D648" s="13">
        <f>D638+D647</f>
        <v>5323</v>
      </c>
      <c r="E648" s="13">
        <f t="shared" ref="E648:F648" si="117">E638+E647</f>
        <v>21500</v>
      </c>
      <c r="F648" s="13">
        <f t="shared" si="117"/>
        <v>16069</v>
      </c>
      <c r="G648" s="13">
        <v>133339</v>
      </c>
    </row>
    <row r="649" spans="1:7" ht="15" customHeight="1">
      <c r="B649" s="79"/>
      <c r="C649" s="123"/>
      <c r="D649" s="2"/>
      <c r="E649" s="2"/>
      <c r="F649" s="2"/>
      <c r="G649" s="2"/>
    </row>
    <row r="650" spans="1:7" ht="15" customHeight="1">
      <c r="A650" s="91"/>
      <c r="B650" s="79">
        <v>2</v>
      </c>
      <c r="C650" s="123" t="s">
        <v>434</v>
      </c>
      <c r="D650" s="2"/>
      <c r="E650" s="2"/>
      <c r="F650" s="2"/>
      <c r="G650" s="2"/>
    </row>
    <row r="651" spans="1:7" ht="15" customHeight="1">
      <c r="A651" s="91"/>
      <c r="B651" s="76">
        <v>2.11</v>
      </c>
      <c r="C651" s="58" t="s">
        <v>454</v>
      </c>
      <c r="D651" s="2"/>
      <c r="E651" s="2"/>
      <c r="F651" s="2"/>
      <c r="G651" s="2"/>
    </row>
    <row r="652" spans="1:7" ht="15" customHeight="1">
      <c r="A652" s="91"/>
      <c r="B652" s="79">
        <v>44</v>
      </c>
      <c r="C652" s="123" t="s">
        <v>10</v>
      </c>
      <c r="D652" s="2"/>
      <c r="E652" s="2"/>
      <c r="F652" s="2"/>
      <c r="G652" s="2"/>
    </row>
    <row r="653" spans="1:7" ht="15" customHeight="1">
      <c r="A653" s="91"/>
      <c r="B653" s="79">
        <v>60</v>
      </c>
      <c r="C653" s="123" t="s">
        <v>456</v>
      </c>
      <c r="D653" s="2"/>
      <c r="E653" s="2"/>
      <c r="F653" s="2"/>
      <c r="G653" s="2"/>
    </row>
    <row r="654" spans="1:7">
      <c r="A654" s="100"/>
      <c r="B654" s="101" t="s">
        <v>457</v>
      </c>
      <c r="C654" s="64" t="s">
        <v>455</v>
      </c>
      <c r="D654" s="1">
        <v>0</v>
      </c>
      <c r="E654" s="1">
        <v>0</v>
      </c>
      <c r="F654" s="1">
        <v>0</v>
      </c>
      <c r="G654" s="2">
        <v>4000</v>
      </c>
    </row>
    <row r="655" spans="1:7" ht="15" customHeight="1">
      <c r="A655" s="100" t="s">
        <v>5</v>
      </c>
      <c r="B655" s="101">
        <v>60</v>
      </c>
      <c r="C655" s="64" t="s">
        <v>456</v>
      </c>
      <c r="D655" s="3">
        <f>D654</f>
        <v>0</v>
      </c>
      <c r="E655" s="3">
        <f t="shared" ref="E655:F657" si="118">E654</f>
        <v>0</v>
      </c>
      <c r="F655" s="3">
        <f t="shared" si="118"/>
        <v>0</v>
      </c>
      <c r="G655" s="4">
        <v>4000</v>
      </c>
    </row>
    <row r="656" spans="1:7" ht="15" customHeight="1">
      <c r="A656" s="100" t="s">
        <v>5</v>
      </c>
      <c r="B656" s="101">
        <v>44</v>
      </c>
      <c r="C656" s="64" t="s">
        <v>10</v>
      </c>
      <c r="D656" s="12">
        <f>D655</f>
        <v>0</v>
      </c>
      <c r="E656" s="12">
        <f t="shared" si="118"/>
        <v>0</v>
      </c>
      <c r="F656" s="12">
        <f t="shared" si="118"/>
        <v>0</v>
      </c>
      <c r="G656" s="13">
        <v>4000</v>
      </c>
    </row>
    <row r="657" spans="1:7" ht="15" customHeight="1">
      <c r="A657" s="91" t="s">
        <v>5</v>
      </c>
      <c r="B657" s="76">
        <v>2.11</v>
      </c>
      <c r="C657" s="58" t="s">
        <v>454</v>
      </c>
      <c r="D657" s="3">
        <f>D656</f>
        <v>0</v>
      </c>
      <c r="E657" s="3">
        <f t="shared" si="118"/>
        <v>0</v>
      </c>
      <c r="F657" s="3">
        <f t="shared" si="118"/>
        <v>0</v>
      </c>
      <c r="G657" s="4">
        <v>4000</v>
      </c>
    </row>
    <row r="658" spans="1:7" ht="11.25" customHeight="1">
      <c r="A658" s="91"/>
      <c r="B658" s="79"/>
      <c r="C658" s="123"/>
      <c r="D658" s="2"/>
      <c r="E658" s="2"/>
      <c r="F658" s="2"/>
      <c r="G658" s="2"/>
    </row>
    <row r="659" spans="1:7" ht="15" customHeight="1">
      <c r="A659" s="91"/>
      <c r="B659" s="76">
        <v>2.1120000000000001</v>
      </c>
      <c r="C659" s="58" t="s">
        <v>109</v>
      </c>
      <c r="D659" s="2"/>
      <c r="E659" s="2"/>
      <c r="F659" s="2"/>
      <c r="G659" s="2"/>
    </row>
    <row r="660" spans="1:7" ht="15" customHeight="1">
      <c r="A660" s="91"/>
      <c r="B660" s="79">
        <v>49</v>
      </c>
      <c r="C660" s="123" t="s">
        <v>435</v>
      </c>
      <c r="D660" s="2"/>
      <c r="E660" s="2"/>
      <c r="F660" s="2"/>
      <c r="G660" s="2"/>
    </row>
    <row r="661" spans="1:7" ht="15" customHeight="1">
      <c r="A661" s="91"/>
      <c r="B661" s="79" t="s">
        <v>436</v>
      </c>
      <c r="C661" s="123" t="s">
        <v>437</v>
      </c>
      <c r="D661" s="1">
        <v>0</v>
      </c>
      <c r="E661" s="1">
        <v>0</v>
      </c>
      <c r="F661" s="2">
        <v>3000</v>
      </c>
      <c r="G661" s="2">
        <v>2429</v>
      </c>
    </row>
    <row r="662" spans="1:7" ht="15" customHeight="1">
      <c r="A662" s="100" t="s">
        <v>5</v>
      </c>
      <c r="B662" s="101">
        <v>49</v>
      </c>
      <c r="C662" s="64" t="s">
        <v>435</v>
      </c>
      <c r="D662" s="3">
        <f>D661</f>
        <v>0</v>
      </c>
      <c r="E662" s="3">
        <f t="shared" ref="E662:F662" si="119">E661</f>
        <v>0</v>
      </c>
      <c r="F662" s="4">
        <f t="shared" si="119"/>
        <v>3000</v>
      </c>
      <c r="G662" s="4">
        <v>2429</v>
      </c>
    </row>
    <row r="663" spans="1:7" ht="10.5" customHeight="1">
      <c r="A663" s="91"/>
      <c r="B663" s="76"/>
      <c r="C663" s="58"/>
      <c r="D663" s="2"/>
      <c r="E663" s="2"/>
      <c r="F663" s="2"/>
      <c r="G663" s="2"/>
    </row>
    <row r="664" spans="1:7" ht="15" customHeight="1">
      <c r="A664" s="91"/>
      <c r="B664" s="79">
        <v>50</v>
      </c>
      <c r="C664" s="123" t="s">
        <v>438</v>
      </c>
      <c r="D664" s="2"/>
      <c r="E664" s="2"/>
      <c r="F664" s="2"/>
      <c r="G664" s="2"/>
    </row>
    <row r="665" spans="1:7" ht="15" customHeight="1">
      <c r="A665" s="100"/>
      <c r="B665" s="101" t="s">
        <v>439</v>
      </c>
      <c r="C665" s="64" t="s">
        <v>440</v>
      </c>
      <c r="D665" s="1">
        <v>0</v>
      </c>
      <c r="E665" s="1">
        <v>0</v>
      </c>
      <c r="F665" s="2">
        <v>10000</v>
      </c>
      <c r="G665" s="1">
        <v>0</v>
      </c>
    </row>
    <row r="666" spans="1:7" ht="15" customHeight="1">
      <c r="A666" s="100" t="s">
        <v>5</v>
      </c>
      <c r="B666" s="101">
        <v>50</v>
      </c>
      <c r="C666" s="64" t="s">
        <v>438</v>
      </c>
      <c r="D666" s="3">
        <f>D665</f>
        <v>0</v>
      </c>
      <c r="E666" s="3">
        <f t="shared" ref="E666:F666" si="120">E665</f>
        <v>0</v>
      </c>
      <c r="F666" s="4">
        <f t="shared" si="120"/>
        <v>10000</v>
      </c>
      <c r="G666" s="3">
        <v>0</v>
      </c>
    </row>
    <row r="667" spans="1:7" ht="12" customHeight="1">
      <c r="A667" s="91"/>
      <c r="B667" s="79"/>
      <c r="C667" s="123"/>
      <c r="D667" s="2"/>
      <c r="E667" s="2"/>
      <c r="F667" s="2"/>
      <c r="G667" s="2"/>
    </row>
    <row r="668" spans="1:7" ht="27.95" customHeight="1">
      <c r="A668" s="91"/>
      <c r="B668" s="79">
        <v>51</v>
      </c>
      <c r="C668" s="123" t="s">
        <v>441</v>
      </c>
      <c r="D668" s="2"/>
      <c r="E668" s="2"/>
      <c r="F668" s="2"/>
      <c r="G668" s="2"/>
    </row>
    <row r="669" spans="1:7" ht="15" customHeight="1">
      <c r="A669" s="100"/>
      <c r="B669" s="101" t="s">
        <v>442</v>
      </c>
      <c r="C669" s="64" t="s">
        <v>440</v>
      </c>
      <c r="D669" s="12">
        <v>0</v>
      </c>
      <c r="E669" s="12">
        <v>0</v>
      </c>
      <c r="F669" s="13">
        <v>5000</v>
      </c>
      <c r="G669" s="12">
        <v>0</v>
      </c>
    </row>
    <row r="670" spans="1:7" ht="27.95" customHeight="1">
      <c r="A670" s="133" t="s">
        <v>5</v>
      </c>
      <c r="B670" s="118">
        <v>51</v>
      </c>
      <c r="C670" s="68" t="s">
        <v>441</v>
      </c>
      <c r="D670" s="12">
        <f>D669</f>
        <v>0</v>
      </c>
      <c r="E670" s="12">
        <f t="shared" ref="E670:F670" si="121">E669</f>
        <v>0</v>
      </c>
      <c r="F670" s="13">
        <f t="shared" si="121"/>
        <v>5000</v>
      </c>
      <c r="G670" s="12">
        <v>0</v>
      </c>
    </row>
    <row r="671" spans="1:7" ht="9.75" customHeight="1">
      <c r="A671" s="91"/>
      <c r="B671" s="79"/>
      <c r="C671" s="123"/>
      <c r="D671" s="2"/>
      <c r="E671" s="2"/>
      <c r="F671" s="2"/>
      <c r="G671" s="2"/>
    </row>
    <row r="672" spans="1:7" ht="25.5">
      <c r="A672" s="91"/>
      <c r="B672" s="79">
        <v>52</v>
      </c>
      <c r="C672" s="123" t="s">
        <v>459</v>
      </c>
      <c r="D672" s="2"/>
      <c r="E672" s="2"/>
      <c r="F672" s="2"/>
      <c r="G672" s="2"/>
    </row>
    <row r="673" spans="1:7" ht="15" customHeight="1">
      <c r="A673" s="91"/>
      <c r="B673" s="79" t="s">
        <v>458</v>
      </c>
      <c r="C673" s="123" t="s">
        <v>440</v>
      </c>
      <c r="D673" s="1">
        <v>0</v>
      </c>
      <c r="E673" s="1">
        <v>0</v>
      </c>
      <c r="F673" s="1">
        <v>0</v>
      </c>
      <c r="G673" s="2">
        <v>10000</v>
      </c>
    </row>
    <row r="674" spans="1:7" ht="25.5">
      <c r="A674" s="91" t="s">
        <v>5</v>
      </c>
      <c r="B674" s="79">
        <v>52</v>
      </c>
      <c r="C674" s="123" t="s">
        <v>459</v>
      </c>
      <c r="D674" s="3">
        <f>D673</f>
        <v>0</v>
      </c>
      <c r="E674" s="3">
        <f t="shared" ref="E674:F674" si="122">E673</f>
        <v>0</v>
      </c>
      <c r="F674" s="3">
        <f t="shared" si="122"/>
        <v>0</v>
      </c>
      <c r="G674" s="4">
        <v>10000</v>
      </c>
    </row>
    <row r="675" spans="1:7" ht="15" customHeight="1">
      <c r="A675" s="91" t="s">
        <v>5</v>
      </c>
      <c r="B675" s="76">
        <v>2.1120000000000001</v>
      </c>
      <c r="C675" s="58" t="s">
        <v>109</v>
      </c>
      <c r="D675" s="3">
        <f>D670+D666+D662+D674</f>
        <v>0</v>
      </c>
      <c r="E675" s="3">
        <f t="shared" ref="E675:F675" si="123">E670+E666+E662+E674</f>
        <v>0</v>
      </c>
      <c r="F675" s="4">
        <f t="shared" si="123"/>
        <v>18000</v>
      </c>
      <c r="G675" s="4">
        <v>12429</v>
      </c>
    </row>
    <row r="676" spans="1:7" ht="15" customHeight="1">
      <c r="A676" s="91" t="s">
        <v>5</v>
      </c>
      <c r="B676" s="79">
        <v>2</v>
      </c>
      <c r="C676" s="123" t="s">
        <v>434</v>
      </c>
      <c r="D676" s="3">
        <f t="shared" ref="D676:F676" si="124">D657+D675</f>
        <v>0</v>
      </c>
      <c r="E676" s="3">
        <f t="shared" si="124"/>
        <v>0</v>
      </c>
      <c r="F676" s="4">
        <f t="shared" si="124"/>
        <v>18000</v>
      </c>
      <c r="G676" s="4">
        <v>16429</v>
      </c>
    </row>
    <row r="677" spans="1:7" ht="15" customHeight="1">
      <c r="A677" s="28" t="s">
        <v>5</v>
      </c>
      <c r="B677" s="57">
        <v>4406</v>
      </c>
      <c r="C677" s="58" t="s">
        <v>249</v>
      </c>
      <c r="D677" s="13">
        <f t="shared" ref="D677:F677" si="125">D648+D676</f>
        <v>5323</v>
      </c>
      <c r="E677" s="13">
        <f t="shared" si="125"/>
        <v>21500</v>
      </c>
      <c r="F677" s="13">
        <f t="shared" si="125"/>
        <v>34069</v>
      </c>
      <c r="G677" s="13">
        <v>149768</v>
      </c>
    </row>
    <row r="678" spans="1:7" ht="15" customHeight="1">
      <c r="A678" s="96" t="s">
        <v>5</v>
      </c>
      <c r="B678" s="97"/>
      <c r="C678" s="98" t="s">
        <v>118</v>
      </c>
      <c r="D678" s="7">
        <f t="shared" ref="D678:F678" si="126">D677</f>
        <v>5323</v>
      </c>
      <c r="E678" s="7">
        <f t="shared" si="126"/>
        <v>21500</v>
      </c>
      <c r="F678" s="7">
        <f t="shared" si="126"/>
        <v>34069</v>
      </c>
      <c r="G678" s="7">
        <v>149768</v>
      </c>
    </row>
    <row r="679" spans="1:7" ht="15" customHeight="1">
      <c r="A679" s="96" t="s">
        <v>5</v>
      </c>
      <c r="B679" s="97"/>
      <c r="C679" s="98" t="s">
        <v>3</v>
      </c>
      <c r="D679" s="35">
        <f t="shared" ref="D679:F679" si="127">D678+D627</f>
        <v>2332209</v>
      </c>
      <c r="E679" s="35">
        <f t="shared" si="127"/>
        <v>3522277</v>
      </c>
      <c r="F679" s="35">
        <f t="shared" si="127"/>
        <v>2613352</v>
      </c>
      <c r="G679" s="35">
        <v>3298825</v>
      </c>
    </row>
    <row r="680" spans="1:7" ht="15" customHeight="1">
      <c r="A680" s="62"/>
      <c r="B680" s="63"/>
      <c r="C680" s="102"/>
      <c r="D680" s="119"/>
      <c r="E680" s="119"/>
      <c r="F680" s="119"/>
      <c r="G680" s="119"/>
    </row>
    <row r="681" spans="1:7" ht="27" customHeight="1">
      <c r="A681" s="28" t="s">
        <v>138</v>
      </c>
      <c r="B681" s="29">
        <v>2406</v>
      </c>
      <c r="C681" s="123" t="s">
        <v>443</v>
      </c>
      <c r="D681" s="2">
        <v>101</v>
      </c>
      <c r="E681" s="1">
        <v>0</v>
      </c>
      <c r="F681" s="1">
        <v>0</v>
      </c>
      <c r="G681" s="1">
        <v>0</v>
      </c>
    </row>
    <row r="682" spans="1:7" ht="9.75" customHeight="1">
      <c r="C682" s="123"/>
      <c r="D682" s="2"/>
      <c r="E682" s="1"/>
      <c r="F682" s="1"/>
      <c r="G682" s="1"/>
    </row>
    <row r="683" spans="1:7" ht="42" customHeight="1">
      <c r="A683" s="99" t="s">
        <v>135</v>
      </c>
      <c r="B683" s="138" t="s">
        <v>427</v>
      </c>
      <c r="C683" s="138"/>
      <c r="D683" s="138"/>
      <c r="E683" s="138"/>
      <c r="F683" s="138"/>
      <c r="G683" s="138"/>
    </row>
    <row r="684" spans="1:7" ht="9.75" customHeight="1">
      <c r="A684" s="99"/>
      <c r="B684" s="134"/>
      <c r="C684" s="134"/>
      <c r="D684" s="134"/>
      <c r="E684" s="134"/>
      <c r="F684" s="134"/>
      <c r="G684" s="134"/>
    </row>
    <row r="685" spans="1:7" s="122" customFormat="1" ht="27.75" customHeight="1">
      <c r="A685" s="28" t="s">
        <v>138</v>
      </c>
      <c r="B685" s="29">
        <v>2406</v>
      </c>
      <c r="C685" s="123" t="s">
        <v>252</v>
      </c>
      <c r="D685" s="2">
        <v>800000</v>
      </c>
      <c r="E685" s="2">
        <v>1250000</v>
      </c>
      <c r="F685" s="2">
        <v>799500</v>
      </c>
      <c r="G685" s="2">
        <v>800000</v>
      </c>
    </row>
    <row r="686" spans="1:7" ht="15" customHeight="1">
      <c r="B686" s="79"/>
      <c r="C686" s="123"/>
      <c r="D686" s="2"/>
      <c r="E686" s="2"/>
      <c r="F686" s="2"/>
      <c r="G686" s="2"/>
    </row>
    <row r="687" spans="1:7" ht="15" customHeight="1">
      <c r="B687" s="79"/>
      <c r="C687" s="123"/>
      <c r="D687" s="2"/>
      <c r="E687" s="2"/>
      <c r="F687" s="2"/>
      <c r="G687" s="2"/>
    </row>
    <row r="688" spans="1:7" ht="15" customHeight="1">
      <c r="B688" s="79"/>
      <c r="C688" s="123"/>
      <c r="D688" s="2"/>
      <c r="E688" s="2"/>
      <c r="F688" s="2"/>
      <c r="G688" s="2"/>
    </row>
    <row r="689" spans="1:7" ht="15" customHeight="1">
      <c r="B689" s="79"/>
      <c r="C689" s="123"/>
      <c r="D689" s="2"/>
      <c r="E689" s="2"/>
      <c r="F689" s="2"/>
      <c r="G689" s="2"/>
    </row>
    <row r="690" spans="1:7" ht="15" customHeight="1">
      <c r="B690" s="79"/>
      <c r="C690" s="123"/>
      <c r="D690" s="2"/>
      <c r="E690" s="2"/>
      <c r="F690" s="2"/>
      <c r="G690" s="2"/>
    </row>
    <row r="691" spans="1:7" ht="15" customHeight="1">
      <c r="B691" s="79"/>
      <c r="C691" s="123"/>
      <c r="D691" s="2"/>
      <c r="E691" s="2"/>
      <c r="F691" s="2"/>
      <c r="G691" s="2"/>
    </row>
    <row r="692" spans="1:7">
      <c r="C692" s="57"/>
      <c r="D692" s="58"/>
    </row>
    <row r="693" spans="1:7">
      <c r="B693" s="103"/>
      <c r="C693" s="104"/>
      <c r="D693" s="1"/>
      <c r="E693" s="2"/>
      <c r="F693" s="2"/>
      <c r="G693" s="1"/>
    </row>
    <row r="694" spans="1:7">
      <c r="B694" s="57"/>
      <c r="C694" s="58"/>
      <c r="D694" s="58"/>
    </row>
    <row r="697" spans="1:7" s="22" customFormat="1">
      <c r="A697" s="105"/>
      <c r="B697" s="57"/>
      <c r="D697" s="37"/>
      <c r="E697" s="37"/>
      <c r="F697" s="37"/>
    </row>
    <row r="698" spans="1:7" s="22" customFormat="1">
      <c r="A698" s="105"/>
      <c r="B698" s="57"/>
      <c r="C698" s="40"/>
      <c r="D698" s="38"/>
      <c r="E698" s="38"/>
      <c r="F698" s="38"/>
    </row>
    <row r="699" spans="1:7" s="22" customFormat="1">
      <c r="A699" s="105"/>
      <c r="B699" s="57"/>
      <c r="C699" s="40"/>
      <c r="D699" s="38"/>
      <c r="E699" s="38"/>
      <c r="F699" s="38"/>
    </row>
    <row r="700" spans="1:7" s="22" customFormat="1">
      <c r="A700" s="105"/>
      <c r="B700" s="57"/>
      <c r="D700" s="38"/>
      <c r="E700" s="38"/>
      <c r="F700" s="38"/>
    </row>
    <row r="701" spans="1:7" s="22" customFormat="1">
      <c r="A701" s="105"/>
      <c r="B701" s="57"/>
      <c r="C701" s="40"/>
      <c r="D701" s="38"/>
      <c r="E701" s="129"/>
      <c r="F701" s="38"/>
    </row>
    <row r="702" spans="1:7">
      <c r="C702" s="27"/>
    </row>
    <row r="703" spans="1:7">
      <c r="C703" s="27"/>
    </row>
    <row r="704" spans="1:7">
      <c r="C704" s="27"/>
    </row>
    <row r="705" spans="1:3" s="22" customFormat="1">
      <c r="A705" s="105"/>
      <c r="B705" s="57"/>
      <c r="C705" s="40"/>
    </row>
    <row r="706" spans="1:3">
      <c r="C706" s="27"/>
    </row>
    <row r="707" spans="1:3">
      <c r="C707" s="27"/>
    </row>
    <row r="708" spans="1:3">
      <c r="C708" s="27"/>
    </row>
    <row r="709" spans="1:3">
      <c r="C709" s="27"/>
    </row>
    <row r="713" spans="1:3">
      <c r="B713" s="141"/>
      <c r="C713" s="141"/>
    </row>
    <row r="714" spans="1:3" ht="26.1" customHeight="1">
      <c r="B714" s="140"/>
      <c r="C714" s="140"/>
    </row>
    <row r="715" spans="1:3">
      <c r="B715" s="76"/>
      <c r="C715" s="58"/>
    </row>
    <row r="716" spans="1:3">
      <c r="C716" s="123"/>
    </row>
    <row r="717" spans="1:3">
      <c r="C717" s="123"/>
    </row>
    <row r="718" spans="1:3">
      <c r="B718" s="60"/>
      <c r="C718" s="123"/>
    </row>
  </sheetData>
  <autoFilter ref="A20:G691"/>
  <customSheetViews>
    <customSheetView guid="{500B8DB8-F286-4AC6-8FFB-9BFEC967AB3A}" scale="70" showPageBreaks="1" printArea="1" showAutoFilter="1" view="pageBreakPreview" showRuler="0" topLeftCell="A551">
      <selection activeCell="G538" sqref="G538"/>
      <rowBreaks count="17" manualBreakCount="17">
        <brk id="34" max="11" man="1"/>
        <brk id="69" max="11" man="1"/>
        <brk id="105" max="11" man="1"/>
        <brk id="139" max="11" man="1"/>
        <brk id="174" max="11" man="1"/>
        <brk id="206" max="11" man="1"/>
        <brk id="241" max="11" man="1"/>
        <brk id="273" max="11" man="1"/>
        <brk id="309" max="11" man="1"/>
        <brk id="341" max="11" man="1"/>
        <brk id="373" max="11" man="1"/>
        <brk id="403" max="11" man="1"/>
        <brk id="437" max="11" man="1"/>
        <brk id="467" max="11" man="1"/>
        <brk id="480" max="11" man="1"/>
        <brk id="514" max="11" man="1"/>
        <brk id="546" max="11" man="1"/>
      </rowBreaks>
      <pageMargins left="0.75" right="0.5" top="0.75" bottom="0.75" header="0.5" footer="0"/>
      <printOptions horizontalCentered="1"/>
      <pageSetup paperSize="9" scale="93" firstPageNumber="106" orientation="landscape" blackAndWhite="1" useFirstPageNumber="1" horizontalDpi="4294967292" r:id="rId1"/>
      <headerFooter alignWithMargins="0">
        <oddHeader>&amp;C    &amp;"Times New Roman,Bold"  &amp;P</oddHeader>
      </headerFooter>
      <autoFilter ref="B1:M1"/>
    </customSheetView>
  </customSheetViews>
  <mergeCells count="8">
    <mergeCell ref="B714:C714"/>
    <mergeCell ref="B713:C713"/>
    <mergeCell ref="A1:G1"/>
    <mergeCell ref="A2:G2"/>
    <mergeCell ref="B683:G683"/>
    <mergeCell ref="E4:G4"/>
    <mergeCell ref="B4:C4"/>
    <mergeCell ref="A11:G11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1" firstPageNumber="132" orientation="portrait" blackAndWhite="1" useFirstPageNumber="1" r:id="rId2"/>
  <headerFooter alignWithMargins="0">
    <oddHeader xml:space="preserve">&amp;C   </oddHeader>
    <oddFooter>&amp;C&amp;"Times New Roman,Bold"   &amp;P</oddFooter>
  </headerFooter>
  <rowBreaks count="14" manualBreakCount="14">
    <brk id="49" max="11" man="1"/>
    <brk id="96" max="11" man="1"/>
    <brk id="136" max="11" man="1"/>
    <brk id="182" max="11" man="1"/>
    <brk id="228" max="11" man="1"/>
    <brk id="273" max="11" man="1"/>
    <brk id="319" max="11" man="1"/>
    <brk id="366" max="11" man="1"/>
    <brk id="411" max="11" man="1"/>
    <brk id="461" max="11" man="1"/>
    <brk id="502" max="11" man="1"/>
    <brk id="546" max="11" man="1"/>
    <brk id="593" max="11" man="1"/>
    <brk id="62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dem12</vt:lpstr>
      <vt:lpstr>Sheet1</vt:lpstr>
      <vt:lpstr>'dem12'!ee</vt:lpstr>
      <vt:lpstr>'dem12'!fwl</vt:lpstr>
      <vt:lpstr>'dem12'!fwlcap</vt:lpstr>
      <vt:lpstr>'dem12'!Print_Area</vt:lpstr>
      <vt:lpstr>'dem12'!Print_Titles</vt:lpstr>
      <vt:lpstr>'dem12'!revise</vt:lpstr>
      <vt:lpstr>'dem12'!summary</vt:lpstr>
      <vt:lpstr>'dem12'!swc</vt:lpstr>
      <vt:lpstr>'dem12'!voted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2024-08-03T10:37:24Z</cp:lastPrinted>
  <dcterms:created xsi:type="dcterms:W3CDTF">2004-06-02T16:15:08Z</dcterms:created>
  <dcterms:modified xsi:type="dcterms:W3CDTF">2024-08-09T09:25:03Z</dcterms:modified>
</cp:coreProperties>
</file>